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ifsp\Downloads\"/>
    </mc:Choice>
  </mc:AlternateContent>
  <xr:revisionPtr revIDLastSave="0" documentId="13_ncr:1_{FD2B3803-3D46-4C29-A1AD-E8073F4095CE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Menu" sheetId="5" r:id="rId1"/>
    <sheet name="TVC" sheetId="1" r:id="rId2"/>
    <sheet name="Reitor" sheetId="61" r:id="rId3"/>
    <sheet name="RGT" sheetId="225" r:id="rId4"/>
    <sheet name="JCR" sheetId="220" r:id="rId5"/>
    <sheet name="BRA" sheetId="209" r:id="rId6"/>
    <sheet name="SPO (4)" sheetId="201" state="hidden" r:id="rId7"/>
    <sheet name="SPO" sheetId="226" r:id="rId8"/>
    <sheet name="campus" sheetId="7" r:id="rId9"/>
    <sheet name="urnas" sheetId="6" r:id="rId10"/>
    <sheet name="1C" sheetId="11" state="hidden" r:id="rId11"/>
    <sheet name="2C" sheetId="10" state="hidden" r:id="rId12"/>
    <sheet name="3C" sheetId="3" state="hidden" r:id="rId13"/>
    <sheet name="4C" sheetId="64" state="hidden" r:id="rId14"/>
    <sheet name="SPO (2)" sheetId="162" state="hidden" r:id="rId15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26" l="1"/>
  <c r="E7" i="226"/>
  <c r="N21" i="226"/>
  <c r="G18" i="226"/>
  <c r="G21" i="226" s="1"/>
  <c r="H11" i="226"/>
  <c r="G11" i="226"/>
  <c r="F11" i="226"/>
  <c r="E11" i="226"/>
  <c r="D11" i="226"/>
  <c r="R10" i="226"/>
  <c r="I10" i="226"/>
  <c r="C10" i="226"/>
  <c r="C21" i="226" s="1"/>
  <c r="B10" i="226"/>
  <c r="J10" i="226" s="1"/>
  <c r="J9" i="226"/>
  <c r="I9" i="226"/>
  <c r="C9" i="226"/>
  <c r="C20" i="226" s="1"/>
  <c r="B9" i="226"/>
  <c r="I8" i="226"/>
  <c r="C8" i="226"/>
  <c r="C19" i="226" s="1"/>
  <c r="B8" i="226"/>
  <c r="J8" i="226" s="1"/>
  <c r="R9" i="226"/>
  <c r="E18" i="226"/>
  <c r="D7" i="226"/>
  <c r="R7" i="226" s="1"/>
  <c r="B3" i="226"/>
  <c r="F7" i="209"/>
  <c r="F7" i="220"/>
  <c r="I11" i="226" l="1"/>
  <c r="E20" i="226"/>
  <c r="E21" i="226"/>
  <c r="E23" i="226"/>
  <c r="E19" i="226"/>
  <c r="D18" i="226"/>
  <c r="R8" i="226"/>
  <c r="G20" i="226"/>
  <c r="F18" i="226"/>
  <c r="G19" i="226"/>
  <c r="F7" i="225"/>
  <c r="E7" i="225"/>
  <c r="D7" i="225"/>
  <c r="G152" i="61"/>
  <c r="G151" i="61"/>
  <c r="H130" i="61"/>
  <c r="H131" i="61"/>
  <c r="H132" i="61"/>
  <c r="E130" i="61"/>
  <c r="F130" i="61"/>
  <c r="E131" i="61"/>
  <c r="F131" i="61"/>
  <c r="E132" i="61"/>
  <c r="F132" i="61"/>
  <c r="D132" i="61"/>
  <c r="D131" i="61"/>
  <c r="D130" i="61"/>
  <c r="C19" i="225"/>
  <c r="D18" i="225"/>
  <c r="D23" i="225" s="1"/>
  <c r="H11" i="225"/>
  <c r="G11" i="225"/>
  <c r="F11" i="225"/>
  <c r="E11" i="225"/>
  <c r="D11" i="225"/>
  <c r="I10" i="225"/>
  <c r="C10" i="225"/>
  <c r="C21" i="225" s="1"/>
  <c r="B10" i="225"/>
  <c r="J10" i="225" s="1"/>
  <c r="I9" i="225"/>
  <c r="C9" i="225"/>
  <c r="C20" i="225" s="1"/>
  <c r="B9" i="225"/>
  <c r="J9" i="225" s="1"/>
  <c r="R8" i="225"/>
  <c r="J8" i="225"/>
  <c r="I8" i="225"/>
  <c r="C8" i="225"/>
  <c r="B8" i="225"/>
  <c r="G18" i="225"/>
  <c r="F18" i="225"/>
  <c r="E18" i="225"/>
  <c r="R7" i="225"/>
  <c r="B3" i="225"/>
  <c r="H11" i="220"/>
  <c r="G11" i="220"/>
  <c r="F11" i="220"/>
  <c r="E11" i="220"/>
  <c r="D11" i="220"/>
  <c r="I10" i="220"/>
  <c r="C10" i="220"/>
  <c r="C21" i="220" s="1"/>
  <c r="B10" i="220"/>
  <c r="J10" i="220" s="1"/>
  <c r="I9" i="220"/>
  <c r="C9" i="220"/>
  <c r="C20" i="220" s="1"/>
  <c r="B9" i="220"/>
  <c r="J9" i="220" s="1"/>
  <c r="I8" i="220"/>
  <c r="C8" i="220"/>
  <c r="C19" i="220" s="1"/>
  <c r="B8" i="220"/>
  <c r="J8" i="220" s="1"/>
  <c r="H7" i="220"/>
  <c r="G18" i="220"/>
  <c r="F18" i="220"/>
  <c r="E7" i="220"/>
  <c r="E18" i="220" s="1"/>
  <c r="D7" i="220"/>
  <c r="R7" i="220" s="1"/>
  <c r="B3" i="220"/>
  <c r="C19" i="209"/>
  <c r="H11" i="209"/>
  <c r="G11" i="209"/>
  <c r="F11" i="209"/>
  <c r="E11" i="209"/>
  <c r="D11" i="209"/>
  <c r="I10" i="209"/>
  <c r="C10" i="209"/>
  <c r="C21" i="209" s="1"/>
  <c r="B10" i="209"/>
  <c r="J10" i="209" s="1"/>
  <c r="I9" i="209"/>
  <c r="C9" i="209"/>
  <c r="C20" i="209" s="1"/>
  <c r="B9" i="209"/>
  <c r="J9" i="209" s="1"/>
  <c r="I8" i="209"/>
  <c r="C8" i="209"/>
  <c r="B8" i="209"/>
  <c r="J8" i="209" s="1"/>
  <c r="H7" i="209"/>
  <c r="G18" i="209"/>
  <c r="F18" i="209"/>
  <c r="E7" i="209"/>
  <c r="E18" i="209" s="1"/>
  <c r="D7" i="209"/>
  <c r="R7" i="209" s="1"/>
  <c r="B3" i="209"/>
  <c r="E22" i="226" l="1"/>
  <c r="Q8" i="226" s="1"/>
  <c r="G22" i="226"/>
  <c r="F23" i="226"/>
  <c r="F20" i="226"/>
  <c r="F21" i="226"/>
  <c r="F19" i="226"/>
  <c r="D21" i="226"/>
  <c r="D19" i="226"/>
  <c r="D20" i="226"/>
  <c r="D23" i="226"/>
  <c r="I11" i="209"/>
  <c r="I11" i="220"/>
  <c r="I11" i="225"/>
  <c r="R9" i="225"/>
  <c r="E23" i="225"/>
  <c r="E21" i="225"/>
  <c r="E20" i="225"/>
  <c r="E19" i="225"/>
  <c r="F23" i="225"/>
  <c r="F21" i="225"/>
  <c r="F20" i="225"/>
  <c r="F19" i="225"/>
  <c r="G21" i="225"/>
  <c r="G20" i="225"/>
  <c r="G19" i="225"/>
  <c r="D19" i="225"/>
  <c r="D20" i="225"/>
  <c r="D21" i="225"/>
  <c r="R10" i="225"/>
  <c r="E23" i="220"/>
  <c r="E20" i="220"/>
  <c r="E21" i="220"/>
  <c r="E19" i="220"/>
  <c r="G21" i="220"/>
  <c r="G20" i="220"/>
  <c r="G19" i="220"/>
  <c r="F23" i="220"/>
  <c r="F21" i="220"/>
  <c r="F20" i="220"/>
  <c r="F19" i="220"/>
  <c r="R8" i="220"/>
  <c r="R9" i="220"/>
  <c r="Q10" i="220"/>
  <c r="R10" i="220"/>
  <c r="D18" i="220"/>
  <c r="G21" i="209"/>
  <c r="G20" i="209"/>
  <c r="G19" i="209"/>
  <c r="F23" i="209"/>
  <c r="F21" i="209"/>
  <c r="F19" i="209"/>
  <c r="F20" i="209"/>
  <c r="E23" i="209"/>
  <c r="E21" i="209"/>
  <c r="E20" i="209"/>
  <c r="E19" i="209"/>
  <c r="R8" i="209"/>
  <c r="R9" i="209"/>
  <c r="Q10" i="209"/>
  <c r="R10" i="209"/>
  <c r="D18" i="209"/>
  <c r="N25" i="201"/>
  <c r="N24" i="201"/>
  <c r="K23" i="201"/>
  <c r="S21" i="201"/>
  <c r="G21" i="201"/>
  <c r="D21" i="201"/>
  <c r="C21" i="201"/>
  <c r="H20" i="201"/>
  <c r="S19" i="201"/>
  <c r="S18" i="201"/>
  <c r="L18" i="201"/>
  <c r="L19" i="201" s="1"/>
  <c r="K18" i="201"/>
  <c r="K19" i="201" s="1"/>
  <c r="J18" i="201"/>
  <c r="J20" i="201" s="1"/>
  <c r="I18" i="201"/>
  <c r="I20" i="201" s="1"/>
  <c r="H18" i="201"/>
  <c r="H19" i="201" s="1"/>
  <c r="G18" i="201"/>
  <c r="G20" i="201" s="1"/>
  <c r="D18" i="201"/>
  <c r="D23" i="201" s="1"/>
  <c r="M11" i="201"/>
  <c r="L11" i="201"/>
  <c r="K11" i="201"/>
  <c r="J11" i="201"/>
  <c r="I11" i="201"/>
  <c r="H11" i="201"/>
  <c r="G11" i="201"/>
  <c r="F11" i="201"/>
  <c r="E11" i="201"/>
  <c r="D11" i="201"/>
  <c r="W10" i="201"/>
  <c r="N10" i="201"/>
  <c r="C10" i="201"/>
  <c r="B10" i="201"/>
  <c r="O10" i="201" s="1"/>
  <c r="W9" i="201"/>
  <c r="N9" i="201"/>
  <c r="C9" i="201"/>
  <c r="C20" i="201" s="1"/>
  <c r="B9" i="201"/>
  <c r="O9" i="201" s="1"/>
  <c r="W8" i="201"/>
  <c r="O8" i="201"/>
  <c r="N8" i="201"/>
  <c r="N11" i="201" s="1"/>
  <c r="C8" i="201"/>
  <c r="C19" i="201" s="1"/>
  <c r="B8" i="201"/>
  <c r="M7" i="201"/>
  <c r="L7" i="201"/>
  <c r="K7" i="201"/>
  <c r="J7" i="201"/>
  <c r="I7" i="201"/>
  <c r="H7" i="201"/>
  <c r="G7" i="201"/>
  <c r="F7" i="201"/>
  <c r="F18" i="201" s="1"/>
  <c r="E7" i="201"/>
  <c r="E18" i="201" s="1"/>
  <c r="D7" i="201"/>
  <c r="W7" i="201" s="1"/>
  <c r="B3" i="201"/>
  <c r="B3" i="64"/>
  <c r="G110" i="61"/>
  <c r="G111" i="61"/>
  <c r="G112" i="61"/>
  <c r="G113" i="61"/>
  <c r="G114" i="61"/>
  <c r="G115" i="61"/>
  <c r="N25" i="162"/>
  <c r="N24" i="162"/>
  <c r="S21" i="162"/>
  <c r="S19" i="162"/>
  <c r="C19" i="162"/>
  <c r="S18" i="162"/>
  <c r="D18" i="162"/>
  <c r="D23" i="162" s="1"/>
  <c r="M11" i="162"/>
  <c r="L11" i="162"/>
  <c r="K11" i="162"/>
  <c r="I11" i="162"/>
  <c r="D11" i="162"/>
  <c r="N10" i="162"/>
  <c r="C10" i="162"/>
  <c r="C21" i="162" s="1"/>
  <c r="B10" i="162"/>
  <c r="O10" i="162" s="1"/>
  <c r="N9" i="162"/>
  <c r="C9" i="162"/>
  <c r="C20" i="162" s="1"/>
  <c r="B9" i="162"/>
  <c r="O9" i="162" s="1"/>
  <c r="O8" i="162"/>
  <c r="N8" i="162"/>
  <c r="N11" i="162" s="1"/>
  <c r="C8" i="162"/>
  <c r="B8" i="162"/>
  <c r="M7" i="162"/>
  <c r="L7" i="162"/>
  <c r="L18" i="162" s="1"/>
  <c r="K7" i="162"/>
  <c r="K18" i="162" s="1"/>
  <c r="J7" i="162"/>
  <c r="I7" i="162"/>
  <c r="I18" i="162" s="1"/>
  <c r="H7" i="162"/>
  <c r="G7" i="162"/>
  <c r="F7" i="162"/>
  <c r="E7" i="162"/>
  <c r="D7" i="162"/>
  <c r="W7" i="162" s="1"/>
  <c r="B3" i="162"/>
  <c r="C9" i="61"/>
  <c r="C10" i="61"/>
  <c r="C11" i="61"/>
  <c r="C12" i="61"/>
  <c r="C13" i="61"/>
  <c r="C14" i="61"/>
  <c r="C15" i="61"/>
  <c r="C16" i="61"/>
  <c r="C17" i="61"/>
  <c r="C18" i="61"/>
  <c r="C19" i="61"/>
  <c r="C20" i="61"/>
  <c r="C21" i="61"/>
  <c r="C22" i="61"/>
  <c r="C23" i="61"/>
  <c r="C24" i="61"/>
  <c r="C25" i="61"/>
  <c r="C26" i="61"/>
  <c r="C27" i="61"/>
  <c r="C28" i="61"/>
  <c r="C29" i="61"/>
  <c r="C30" i="61"/>
  <c r="C31" i="61"/>
  <c r="C32" i="61"/>
  <c r="C33" i="61"/>
  <c r="C34" i="61"/>
  <c r="C35" i="61"/>
  <c r="C36" i="61"/>
  <c r="C37" i="61"/>
  <c r="C38" i="61"/>
  <c r="C39" i="61"/>
  <c r="C40" i="61"/>
  <c r="C41" i="61"/>
  <c r="C42" i="61"/>
  <c r="C43" i="61"/>
  <c r="C44" i="61"/>
  <c r="C45" i="61"/>
  <c r="C46" i="61"/>
  <c r="C47" i="61"/>
  <c r="C48" i="61"/>
  <c r="C49" i="61"/>
  <c r="C50" i="61"/>
  <c r="C51" i="61"/>
  <c r="C52" i="61"/>
  <c r="C53" i="61"/>
  <c r="C54" i="61"/>
  <c r="C55" i="61"/>
  <c r="C56" i="61"/>
  <c r="C57" i="61"/>
  <c r="C58" i="61"/>
  <c r="C59" i="61"/>
  <c r="C60" i="61"/>
  <c r="C61" i="61"/>
  <c r="C62" i="61"/>
  <c r="C63" i="61"/>
  <c r="C64" i="61"/>
  <c r="C65" i="61"/>
  <c r="C66" i="61"/>
  <c r="C67" i="61"/>
  <c r="C68" i="61"/>
  <c r="C69" i="61"/>
  <c r="C70" i="61"/>
  <c r="C71" i="61"/>
  <c r="C72" i="61"/>
  <c r="C73" i="61"/>
  <c r="C74" i="61"/>
  <c r="C75" i="61"/>
  <c r="C76" i="61"/>
  <c r="C77" i="61"/>
  <c r="C78" i="61"/>
  <c r="C79" i="61"/>
  <c r="C80" i="61"/>
  <c r="C81" i="61"/>
  <c r="C82" i="61"/>
  <c r="C83" i="61"/>
  <c r="C84" i="61"/>
  <c r="C85" i="61"/>
  <c r="C86" i="61"/>
  <c r="C87" i="61"/>
  <c r="C88" i="61"/>
  <c r="C89" i="61"/>
  <c r="C90" i="61"/>
  <c r="C91" i="61"/>
  <c r="C92" i="61"/>
  <c r="C93" i="61"/>
  <c r="C94" i="61"/>
  <c r="C95" i="61"/>
  <c r="C96" i="61"/>
  <c r="C97" i="61"/>
  <c r="C98" i="61"/>
  <c r="C99" i="61"/>
  <c r="C100" i="61"/>
  <c r="C101" i="61"/>
  <c r="C102" i="61"/>
  <c r="C103" i="61"/>
  <c r="C104" i="61"/>
  <c r="C105" i="61"/>
  <c r="C106" i="61"/>
  <c r="C107" i="61"/>
  <c r="C108" i="61"/>
  <c r="C109" i="61"/>
  <c r="C110" i="61"/>
  <c r="C111" i="61"/>
  <c r="C112" i="61"/>
  <c r="C113" i="61"/>
  <c r="C114" i="61"/>
  <c r="C115" i="61"/>
  <c r="C116" i="61"/>
  <c r="C117" i="61"/>
  <c r="C118" i="61"/>
  <c r="C119" i="61"/>
  <c r="C120" i="61"/>
  <c r="C121" i="61"/>
  <c r="C122" i="61"/>
  <c r="C8" i="61"/>
  <c r="H9" i="61"/>
  <c r="H10" i="61"/>
  <c r="H11" i="61"/>
  <c r="H12" i="61"/>
  <c r="H13" i="61"/>
  <c r="H14" i="61"/>
  <c r="H15" i="61"/>
  <c r="H16" i="61"/>
  <c r="H17" i="61"/>
  <c r="H18" i="61"/>
  <c r="H19" i="61"/>
  <c r="H20" i="61"/>
  <c r="H21" i="61"/>
  <c r="H22" i="61"/>
  <c r="H23" i="61"/>
  <c r="H24" i="61"/>
  <c r="H25" i="61"/>
  <c r="H26" i="61"/>
  <c r="H27" i="61"/>
  <c r="H28" i="61"/>
  <c r="H29" i="61"/>
  <c r="H30" i="61"/>
  <c r="H31" i="61"/>
  <c r="H32" i="61"/>
  <c r="H33" i="61"/>
  <c r="H34" i="61"/>
  <c r="H35" i="61"/>
  <c r="H36" i="61"/>
  <c r="H37" i="61"/>
  <c r="H38" i="61"/>
  <c r="H39" i="61"/>
  <c r="H40" i="61"/>
  <c r="H41" i="6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113" i="61"/>
  <c r="H114" i="61"/>
  <c r="H115" i="61"/>
  <c r="H116" i="61"/>
  <c r="H117" i="61"/>
  <c r="H118" i="61"/>
  <c r="H119" i="61"/>
  <c r="H120" i="61"/>
  <c r="H121" i="61"/>
  <c r="H122" i="61"/>
  <c r="H8" i="61"/>
  <c r="I114" i="61" l="1"/>
  <c r="I113" i="61"/>
  <c r="I112" i="61"/>
  <c r="I110" i="61"/>
  <c r="D22" i="226"/>
  <c r="M5" i="226" s="1"/>
  <c r="N18" i="226" s="1"/>
  <c r="F22" i="226"/>
  <c r="E22" i="209"/>
  <c r="Q8" i="209" s="1"/>
  <c r="G22" i="209"/>
  <c r="E22" i="220"/>
  <c r="Q8" i="220" s="1"/>
  <c r="G22" i="220"/>
  <c r="G22" i="225"/>
  <c r="Q10" i="225" s="1"/>
  <c r="F22" i="225"/>
  <c r="Q9" i="225" s="1"/>
  <c r="I115" i="61"/>
  <c r="I111" i="61"/>
  <c r="D22" i="225"/>
  <c r="E22" i="225"/>
  <c r="Q8" i="225" s="1"/>
  <c r="D23" i="220"/>
  <c r="D21" i="220"/>
  <c r="D20" i="220"/>
  <c r="D19" i="220"/>
  <c r="F22" i="220"/>
  <c r="Q9" i="220" s="1"/>
  <c r="D23" i="209"/>
  <c r="D21" i="209"/>
  <c r="D20" i="209"/>
  <c r="D19" i="209"/>
  <c r="F22" i="209"/>
  <c r="Q9" i="209" s="1"/>
  <c r="E20" i="201"/>
  <c r="E19" i="201"/>
  <c r="E21" i="201"/>
  <c r="F20" i="201"/>
  <c r="F19" i="201"/>
  <c r="F21" i="201"/>
  <c r="K20" i="201"/>
  <c r="K22" i="201" s="1"/>
  <c r="V9" i="201" s="1"/>
  <c r="L20" i="201"/>
  <c r="L22" i="201" s="1"/>
  <c r="V10" i="201" s="1"/>
  <c r="H21" i="201"/>
  <c r="H22" i="201" s="1"/>
  <c r="I21" i="201"/>
  <c r="D19" i="201"/>
  <c r="J21" i="201"/>
  <c r="K21" i="201"/>
  <c r="L21" i="201"/>
  <c r="G19" i="201"/>
  <c r="G22" i="201" s="1"/>
  <c r="I19" i="201"/>
  <c r="I22" i="201" s="1"/>
  <c r="V8" i="201" s="1"/>
  <c r="J19" i="201"/>
  <c r="J22" i="201" s="1"/>
  <c r="D20" i="201"/>
  <c r="I23" i="201"/>
  <c r="K23" i="162"/>
  <c r="K21" i="162"/>
  <c r="K20" i="162"/>
  <c r="K19" i="162"/>
  <c r="K22" i="162" s="1"/>
  <c r="L21" i="162"/>
  <c r="L20" i="162"/>
  <c r="L19" i="162"/>
  <c r="L22" i="162" s="1"/>
  <c r="I23" i="162"/>
  <c r="I21" i="162"/>
  <c r="I20" i="162"/>
  <c r="I19" i="162"/>
  <c r="D19" i="162"/>
  <c r="W8" i="162"/>
  <c r="V9" i="162"/>
  <c r="D20" i="162"/>
  <c r="W9" i="162"/>
  <c r="D21" i="162"/>
  <c r="V10" i="162"/>
  <c r="W10" i="162"/>
  <c r="I8" i="64"/>
  <c r="G11" i="64"/>
  <c r="H11" i="64"/>
  <c r="E11" i="64"/>
  <c r="I10" i="64"/>
  <c r="H7" i="64"/>
  <c r="G7" i="64"/>
  <c r="G18" i="64" s="1"/>
  <c r="F7" i="64"/>
  <c r="F18" i="64" s="1"/>
  <c r="E7" i="64"/>
  <c r="E18" i="64" s="1"/>
  <c r="D7" i="64"/>
  <c r="C10" i="64"/>
  <c r="C21" i="64" s="1"/>
  <c r="C9" i="64"/>
  <c r="C20" i="64" s="1"/>
  <c r="C8" i="64"/>
  <c r="C19" i="64" s="1"/>
  <c r="B9" i="64"/>
  <c r="J9" i="64" s="1"/>
  <c r="B8" i="64"/>
  <c r="J8" i="64" s="1"/>
  <c r="B10" i="64"/>
  <c r="J10" i="64" s="1"/>
  <c r="D11" i="64"/>
  <c r="Q7" i="226" l="1"/>
  <c r="T7" i="226" s="1" a="1"/>
  <c r="T7" i="226" s="1"/>
  <c r="J18" i="226" s="1"/>
  <c r="O5" i="226"/>
  <c r="N5" i="226"/>
  <c r="N19" i="226" s="1"/>
  <c r="D22" i="209"/>
  <c r="Q7" i="209" s="1"/>
  <c r="T7" i="209" s="1" a="1"/>
  <c r="T7" i="209" s="1"/>
  <c r="D22" i="220"/>
  <c r="O5" i="220" s="1"/>
  <c r="N21" i="220" s="1"/>
  <c r="O5" i="225"/>
  <c r="N21" i="225" s="1"/>
  <c r="N5" i="225"/>
  <c r="N19" i="225" s="1"/>
  <c r="Q7" i="225"/>
  <c r="T7" i="225" s="1" a="1"/>
  <c r="T7" i="225" s="1"/>
  <c r="M5" i="225"/>
  <c r="N18" i="225" s="1"/>
  <c r="Q7" i="220"/>
  <c r="T7" i="220" s="1" a="1"/>
  <c r="T7" i="220" s="1"/>
  <c r="D22" i="201"/>
  <c r="F22" i="201"/>
  <c r="E22" i="201"/>
  <c r="D22" i="162"/>
  <c r="I22" i="162"/>
  <c r="V8" i="162" s="1"/>
  <c r="E19" i="64"/>
  <c r="E20" i="64"/>
  <c r="E21" i="64"/>
  <c r="F19" i="64"/>
  <c r="F20" i="64"/>
  <c r="F21" i="64"/>
  <c r="G19" i="64"/>
  <c r="G20" i="64"/>
  <c r="G21" i="64"/>
  <c r="R7" i="64"/>
  <c r="R8" i="64"/>
  <c r="R10" i="64"/>
  <c r="R9" i="64"/>
  <c r="D18" i="64"/>
  <c r="E23" i="64"/>
  <c r="F23" i="64"/>
  <c r="F11" i="64"/>
  <c r="I9" i="64"/>
  <c r="I11" i="64" s="1"/>
  <c r="N5" i="209" l="1"/>
  <c r="N19" i="209" s="1"/>
  <c r="J19" i="209" s="1"/>
  <c r="M5" i="209"/>
  <c r="N18" i="209" s="1"/>
  <c r="J18" i="209" s="1"/>
  <c r="N5" i="220"/>
  <c r="N19" i="220" s="1"/>
  <c r="J19" i="220" s="1"/>
  <c r="M5" i="220"/>
  <c r="N18" i="220" s="1"/>
  <c r="J18" i="220" s="1"/>
  <c r="O5" i="209"/>
  <c r="N21" i="209" s="1"/>
  <c r="J21" i="209" s="1"/>
  <c r="J19" i="226"/>
  <c r="J18" i="225"/>
  <c r="J21" i="225"/>
  <c r="J19" i="225"/>
  <c r="J21" i="220"/>
  <c r="T5" i="201"/>
  <c r="S5" i="201"/>
  <c r="R5" i="201"/>
  <c r="V7" i="201"/>
  <c r="Y7" i="201" s="1" a="1"/>
  <c r="Y7" i="201" s="1"/>
  <c r="V7" i="162"/>
  <c r="Y7" i="162" s="1" a="1"/>
  <c r="Y7" i="162" s="1"/>
  <c r="T5" i="162"/>
  <c r="S5" i="162"/>
  <c r="R5" i="162"/>
  <c r="D23" i="64"/>
  <c r="D20" i="64"/>
  <c r="D21" i="64"/>
  <c r="D22" i="64" s="1"/>
  <c r="Q7" i="64" s="1"/>
  <c r="D19" i="64"/>
  <c r="E22" i="64"/>
  <c r="Q8" i="64" s="1"/>
  <c r="F22" i="64"/>
  <c r="Q9" i="64" s="1"/>
  <c r="G22" i="64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2" i="7"/>
  <c r="O18" i="201" l="1"/>
  <c r="O21" i="201"/>
  <c r="O19" i="201"/>
  <c r="O18" i="162"/>
  <c r="O19" i="162"/>
  <c r="O21" i="162"/>
  <c r="Q10" i="64"/>
  <c r="O5" i="64"/>
  <c r="N5" i="64"/>
  <c r="M5" i="64"/>
  <c r="N18" i="64"/>
  <c r="N19" i="64"/>
  <c r="N21" i="64"/>
  <c r="T7" i="64" a="1"/>
  <c r="T7" i="64" s="1"/>
  <c r="I25" i="64" l="1"/>
  <c r="J19" i="64"/>
  <c r="J21" i="64"/>
  <c r="J18" i="64"/>
  <c r="I24" i="64" s="1"/>
  <c r="B159" i="61"/>
  <c r="E140" i="61"/>
  <c r="T150" i="61" s="1"/>
  <c r="D140" i="61"/>
  <c r="T149" i="61" s="1"/>
  <c r="E129" i="61"/>
  <c r="F129" i="61"/>
  <c r="D129" i="61"/>
  <c r="G10" i="61"/>
  <c r="G11" i="61"/>
  <c r="I11" i="61" s="1"/>
  <c r="G12" i="61"/>
  <c r="I12" i="61" s="1"/>
  <c r="G13" i="61"/>
  <c r="I13" i="61" s="1"/>
  <c r="G14" i="61"/>
  <c r="I14" i="61" s="1"/>
  <c r="G15" i="61"/>
  <c r="I15" i="61" s="1"/>
  <c r="G16" i="61"/>
  <c r="I16" i="61" s="1"/>
  <c r="G17" i="61"/>
  <c r="I17" i="61" s="1"/>
  <c r="G18" i="61"/>
  <c r="I18" i="61" s="1"/>
  <c r="G19" i="61"/>
  <c r="I19" i="61" s="1"/>
  <c r="G20" i="61"/>
  <c r="I20" i="61" s="1"/>
  <c r="G21" i="61"/>
  <c r="I21" i="61" s="1"/>
  <c r="G22" i="61"/>
  <c r="I22" i="61" s="1"/>
  <c r="G23" i="61"/>
  <c r="I23" i="61" s="1"/>
  <c r="G24" i="61"/>
  <c r="I24" i="61" s="1"/>
  <c r="G25" i="61"/>
  <c r="I25" i="61" s="1"/>
  <c r="G26" i="61"/>
  <c r="I26" i="61" s="1"/>
  <c r="G27" i="61"/>
  <c r="I27" i="61" s="1"/>
  <c r="G28" i="61"/>
  <c r="I28" i="61" s="1"/>
  <c r="G29" i="61"/>
  <c r="I29" i="61" s="1"/>
  <c r="G30" i="61"/>
  <c r="I30" i="61" s="1"/>
  <c r="G31" i="61"/>
  <c r="I31" i="61" s="1"/>
  <c r="G32" i="61"/>
  <c r="I32" i="61" s="1"/>
  <c r="G33" i="61"/>
  <c r="I33" i="61" s="1"/>
  <c r="G34" i="61"/>
  <c r="I34" i="61" s="1"/>
  <c r="G35" i="61"/>
  <c r="I35" i="61" s="1"/>
  <c r="G36" i="61"/>
  <c r="I36" i="61" s="1"/>
  <c r="G37" i="61"/>
  <c r="I37" i="61" s="1"/>
  <c r="G38" i="61"/>
  <c r="I38" i="61" s="1"/>
  <c r="G39" i="61"/>
  <c r="I39" i="61" s="1"/>
  <c r="G40" i="61"/>
  <c r="I40" i="61" s="1"/>
  <c r="G41" i="61"/>
  <c r="I41" i="61" s="1"/>
  <c r="G42" i="61"/>
  <c r="I42" i="61" s="1"/>
  <c r="G43" i="61"/>
  <c r="I43" i="61" s="1"/>
  <c r="G44" i="61"/>
  <c r="I44" i="61" s="1"/>
  <c r="G45" i="61"/>
  <c r="I45" i="61" s="1"/>
  <c r="G46" i="61"/>
  <c r="I46" i="61" s="1"/>
  <c r="G47" i="61"/>
  <c r="I47" i="61" s="1"/>
  <c r="G48" i="61"/>
  <c r="I48" i="61" s="1"/>
  <c r="G49" i="61"/>
  <c r="I49" i="61" s="1"/>
  <c r="G50" i="61"/>
  <c r="I50" i="61" s="1"/>
  <c r="G51" i="61"/>
  <c r="I51" i="61" s="1"/>
  <c r="G52" i="61"/>
  <c r="I52" i="61" s="1"/>
  <c r="G53" i="61"/>
  <c r="I53" i="61" s="1"/>
  <c r="G54" i="61"/>
  <c r="I54" i="61" s="1"/>
  <c r="G55" i="61"/>
  <c r="I55" i="61" s="1"/>
  <c r="G56" i="61"/>
  <c r="I56" i="61" s="1"/>
  <c r="G57" i="61"/>
  <c r="I57" i="61" s="1"/>
  <c r="G58" i="61"/>
  <c r="I58" i="61" s="1"/>
  <c r="G59" i="61"/>
  <c r="I59" i="61" s="1"/>
  <c r="G60" i="61"/>
  <c r="I60" i="61" s="1"/>
  <c r="G61" i="61"/>
  <c r="I61" i="61" s="1"/>
  <c r="G62" i="61"/>
  <c r="I62" i="61" s="1"/>
  <c r="G63" i="61"/>
  <c r="I63" i="61" s="1"/>
  <c r="G64" i="61"/>
  <c r="I64" i="61" s="1"/>
  <c r="G65" i="61"/>
  <c r="I65" i="61" s="1"/>
  <c r="G66" i="61"/>
  <c r="I66" i="61" s="1"/>
  <c r="G67" i="61"/>
  <c r="I67" i="61" s="1"/>
  <c r="G68" i="61"/>
  <c r="I68" i="61" s="1"/>
  <c r="G69" i="61"/>
  <c r="I69" i="61" s="1"/>
  <c r="G70" i="61"/>
  <c r="I70" i="61" s="1"/>
  <c r="G71" i="61"/>
  <c r="I71" i="61" s="1"/>
  <c r="G72" i="61"/>
  <c r="I72" i="61" s="1"/>
  <c r="G73" i="61"/>
  <c r="I73" i="61" s="1"/>
  <c r="G74" i="61"/>
  <c r="I74" i="61" s="1"/>
  <c r="G75" i="61"/>
  <c r="I75" i="61" s="1"/>
  <c r="G76" i="61"/>
  <c r="I76" i="61" s="1"/>
  <c r="G77" i="61"/>
  <c r="I77" i="61" s="1"/>
  <c r="G78" i="61"/>
  <c r="I78" i="61" s="1"/>
  <c r="G79" i="61"/>
  <c r="I79" i="61" s="1"/>
  <c r="G80" i="61"/>
  <c r="I80" i="61" s="1"/>
  <c r="G81" i="61"/>
  <c r="I81" i="61" s="1"/>
  <c r="G82" i="61"/>
  <c r="I82" i="61" s="1"/>
  <c r="G83" i="61"/>
  <c r="I83" i="61" s="1"/>
  <c r="G84" i="61"/>
  <c r="I84" i="61" s="1"/>
  <c r="G85" i="61"/>
  <c r="I85" i="61" s="1"/>
  <c r="G86" i="61"/>
  <c r="I86" i="61" s="1"/>
  <c r="G87" i="61"/>
  <c r="I87" i="61" s="1"/>
  <c r="G88" i="61"/>
  <c r="I88" i="61" s="1"/>
  <c r="G89" i="61"/>
  <c r="I89" i="61" s="1"/>
  <c r="G90" i="61"/>
  <c r="I90" i="61" s="1"/>
  <c r="G91" i="61"/>
  <c r="I91" i="61" s="1"/>
  <c r="G92" i="61"/>
  <c r="I92" i="61" s="1"/>
  <c r="G93" i="61"/>
  <c r="I93" i="61" s="1"/>
  <c r="G94" i="61"/>
  <c r="I94" i="61" s="1"/>
  <c r="G95" i="61"/>
  <c r="I95" i="61" s="1"/>
  <c r="G96" i="61"/>
  <c r="I96" i="61" s="1"/>
  <c r="G97" i="61"/>
  <c r="I97" i="61" s="1"/>
  <c r="G98" i="61"/>
  <c r="I98" i="61" s="1"/>
  <c r="G99" i="61"/>
  <c r="I99" i="61" s="1"/>
  <c r="G100" i="61"/>
  <c r="I100" i="61" s="1"/>
  <c r="G101" i="61"/>
  <c r="I101" i="61" s="1"/>
  <c r="G102" i="61"/>
  <c r="I102" i="61" s="1"/>
  <c r="G103" i="61"/>
  <c r="I103" i="61" s="1"/>
  <c r="G104" i="61"/>
  <c r="I104" i="61" s="1"/>
  <c r="G105" i="61"/>
  <c r="I105" i="61" s="1"/>
  <c r="G106" i="61"/>
  <c r="I106" i="61" s="1"/>
  <c r="G107" i="61"/>
  <c r="I107" i="61" s="1"/>
  <c r="G108" i="61"/>
  <c r="I108" i="61" s="1"/>
  <c r="G109" i="61"/>
  <c r="I109" i="61" s="1"/>
  <c r="G116" i="61"/>
  <c r="I116" i="61" s="1"/>
  <c r="G117" i="61"/>
  <c r="I117" i="61" s="1"/>
  <c r="G118" i="61"/>
  <c r="I118" i="61" s="1"/>
  <c r="G119" i="61"/>
  <c r="I119" i="61" s="1"/>
  <c r="G120" i="61"/>
  <c r="I120" i="61" s="1"/>
  <c r="G121" i="61"/>
  <c r="I121" i="61" s="1"/>
  <c r="G122" i="61"/>
  <c r="I122" i="61" s="1"/>
  <c r="K5" i="61"/>
  <c r="G9" i="61"/>
  <c r="G8" i="61"/>
  <c r="F18" i="3"/>
  <c r="F23" i="3" s="1"/>
  <c r="E18" i="3"/>
  <c r="E23" i="3" s="1"/>
  <c r="D18" i="3"/>
  <c r="D23" i="3" s="1"/>
  <c r="C10" i="3"/>
  <c r="B10" i="3"/>
  <c r="J10" i="3" s="1"/>
  <c r="C9" i="3"/>
  <c r="B9" i="3"/>
  <c r="J9" i="3" s="1"/>
  <c r="C8" i="3"/>
  <c r="B8" i="3"/>
  <c r="J8" i="3" s="1"/>
  <c r="F7" i="3"/>
  <c r="E7" i="3"/>
  <c r="D7" i="3"/>
  <c r="B3" i="3"/>
  <c r="E18" i="10"/>
  <c r="E23" i="10" s="1"/>
  <c r="D18" i="10"/>
  <c r="D23" i="10" s="1"/>
  <c r="C10" i="10"/>
  <c r="B10" i="10"/>
  <c r="I10" i="10" s="1"/>
  <c r="C9" i="10"/>
  <c r="B9" i="10"/>
  <c r="I9" i="10" s="1"/>
  <c r="C8" i="10"/>
  <c r="B8" i="10"/>
  <c r="I8" i="10" s="1"/>
  <c r="E7" i="10"/>
  <c r="D7" i="10"/>
  <c r="B3" i="10"/>
  <c r="D18" i="11"/>
  <c r="D23" i="11" s="1"/>
  <c r="C10" i="11"/>
  <c r="B10" i="11"/>
  <c r="H10" i="11" s="1"/>
  <c r="C9" i="11"/>
  <c r="B9" i="11"/>
  <c r="H9" i="11" s="1"/>
  <c r="C8" i="11"/>
  <c r="B8" i="11"/>
  <c r="H8" i="11" s="1"/>
  <c r="D7" i="11"/>
  <c r="B3" i="11"/>
  <c r="F20" i="11"/>
  <c r="K18" i="11"/>
  <c r="D21" i="11"/>
  <c r="D20" i="11"/>
  <c r="D19" i="11"/>
  <c r="F11" i="11"/>
  <c r="E11" i="11"/>
  <c r="D11" i="11"/>
  <c r="G10" i="11"/>
  <c r="G9" i="11"/>
  <c r="G8" i="11"/>
  <c r="G22" i="10"/>
  <c r="L19" i="10"/>
  <c r="L18" i="10"/>
  <c r="E21" i="10"/>
  <c r="D21" i="10"/>
  <c r="E20" i="10"/>
  <c r="D20" i="10"/>
  <c r="E19" i="10"/>
  <c r="D19" i="10"/>
  <c r="G11" i="10"/>
  <c r="F11" i="10"/>
  <c r="E11" i="10"/>
  <c r="D11" i="10"/>
  <c r="G23" i="10" s="1"/>
  <c r="H10" i="10"/>
  <c r="H9" i="10"/>
  <c r="H8" i="10"/>
  <c r="E19" i="3"/>
  <c r="F19" i="3"/>
  <c r="E20" i="3"/>
  <c r="F20" i="3"/>
  <c r="E21" i="3"/>
  <c r="F21" i="3"/>
  <c r="D20" i="3"/>
  <c r="D21" i="3"/>
  <c r="D19" i="3"/>
  <c r="I8" i="3"/>
  <c r="E11" i="3"/>
  <c r="F11" i="3"/>
  <c r="G11" i="3"/>
  <c r="H11" i="3"/>
  <c r="D11" i="3"/>
  <c r="I9" i="3"/>
  <c r="I10" i="3"/>
  <c r="G130" i="61" l="1"/>
  <c r="I9" i="61"/>
  <c r="G131" i="61"/>
  <c r="I10" i="61"/>
  <c r="G132" i="61"/>
  <c r="I8" i="61"/>
  <c r="F133" i="61"/>
  <c r="E133" i="61"/>
  <c r="D133" i="61"/>
  <c r="G11" i="11"/>
  <c r="D22" i="11"/>
  <c r="K5" i="11" s="1"/>
  <c r="E22" i="10"/>
  <c r="H11" i="10"/>
  <c r="D22" i="10"/>
  <c r="H25" i="3"/>
  <c r="E22" i="3"/>
  <c r="D22" i="3"/>
  <c r="F22" i="3"/>
  <c r="I11" i="3"/>
  <c r="I130" i="61" l="1"/>
  <c r="D143" i="61"/>
  <c r="E143" i="61"/>
  <c r="I131" i="61"/>
  <c r="I132" i="61"/>
  <c r="M5" i="10"/>
  <c r="E141" i="61"/>
  <c r="E142" i="61"/>
  <c r="D142" i="61"/>
  <c r="D141" i="61"/>
  <c r="H133" i="61"/>
  <c r="G133" i="61"/>
  <c r="L5" i="10"/>
  <c r="O5" i="3"/>
  <c r="M21" i="3" s="1"/>
  <c r="N5" i="3"/>
  <c r="M19" i="3" s="1"/>
  <c r="M5" i="3"/>
  <c r="M18" i="3" s="1"/>
  <c r="I133" i="61" l="1"/>
  <c r="E144" i="61"/>
  <c r="D144" i="61"/>
  <c r="H24" i="3"/>
  <c r="S150" i="61" l="1"/>
  <c r="E4" i="61"/>
  <c r="S149" i="61"/>
  <c r="D4" i="61"/>
  <c r="O149" i="61" l="1" a="1"/>
  <c r="G157" i="61"/>
  <c r="O149" i="61" l="1"/>
  <c r="C152" i="61"/>
  <c r="C151" i="6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<sst xmlns="http://schemas.openxmlformats.org/spreadsheetml/2006/main" count="1066" uniqueCount="346">
  <si>
    <t>TVC = Taxa percentual do total de votos do(a) candidato (a);</t>
  </si>
  <si>
    <t>VDo = Número de votos recebidos pelo(a) candidato(a) na urna de docentes;</t>
  </si>
  <si>
    <t>VTa  =  Número  de  votos  recebidos  pelo(a)  candidato(a)  na  urna de  técnicos administrativos em Educação;</t>
  </si>
  <si>
    <t>VDi= Número de votos recebidos pelo candidato(a) na urna de discentes;</t>
  </si>
  <si>
    <t>TVC = [(1/3 x (VDo/NDo)) + (1/3 x (VTa/NTa)) + (1/3 x (VDi/NDi))] x 100</t>
  </si>
  <si>
    <t>NDo = Número de docentes aptos a votar;</t>
  </si>
  <si>
    <t>NTa = Número de técnicos administrativos em educação aptos a votar;</t>
  </si>
  <si>
    <t>NDi = Número de discentes aptos a votar</t>
  </si>
  <si>
    <t>Cálculo da Taxa percentual do total de votos do(a) candidato (a) - TVC:</t>
  </si>
  <si>
    <t>Urna</t>
  </si>
  <si>
    <t>Docentes</t>
  </si>
  <si>
    <t>Urna 001</t>
  </si>
  <si>
    <t>Urna 002</t>
  </si>
  <si>
    <t>Discentes</t>
  </si>
  <si>
    <t>Urna 003</t>
  </si>
  <si>
    <t>Técnicos Administrativos</t>
  </si>
  <si>
    <t>Urna 004</t>
  </si>
  <si>
    <t>Urna 005</t>
  </si>
  <si>
    <t>Urna 006</t>
  </si>
  <si>
    <t>Urna 007</t>
  </si>
  <si>
    <t>Urna 008</t>
  </si>
  <si>
    <t>Urna 009</t>
  </si>
  <si>
    <t>Urna 010</t>
  </si>
  <si>
    <t>Urna 011</t>
  </si>
  <si>
    <t>Urna 012</t>
  </si>
  <si>
    <t>Urna 013</t>
  </si>
  <si>
    <t>Urna 014</t>
  </si>
  <si>
    <t>Urna 015</t>
  </si>
  <si>
    <t>Urna 016</t>
  </si>
  <si>
    <t>Urna 017</t>
  </si>
  <si>
    <t>Urna 018</t>
  </si>
  <si>
    <t>Urna 019</t>
  </si>
  <si>
    <t>Urna 020</t>
  </si>
  <si>
    <t>Urna 021</t>
  </si>
  <si>
    <t>Urna 022</t>
  </si>
  <si>
    <t>Urna 023</t>
  </si>
  <si>
    <t>Urna 024</t>
  </si>
  <si>
    <t>Urna 025</t>
  </si>
  <si>
    <t>Urna 026</t>
  </si>
  <si>
    <t>Urna 027</t>
  </si>
  <si>
    <t>Urna 028</t>
  </si>
  <si>
    <t>Urna 029</t>
  </si>
  <si>
    <t>Urna 030</t>
  </si>
  <si>
    <t>Urna 031</t>
  </si>
  <si>
    <t>Urna 032</t>
  </si>
  <si>
    <t>Urna 033</t>
  </si>
  <si>
    <t>Urna 034</t>
  </si>
  <si>
    <t>Urna 035</t>
  </si>
  <si>
    <t>Urna 036</t>
  </si>
  <si>
    <t>Urna 037</t>
  </si>
  <si>
    <t>Urna 038</t>
  </si>
  <si>
    <t>Urna 039</t>
  </si>
  <si>
    <t>Urna 040</t>
  </si>
  <si>
    <t>Urna 041</t>
  </si>
  <si>
    <t>Urna 042</t>
  </si>
  <si>
    <t>Urna 043</t>
  </si>
  <si>
    <t>Urna 044</t>
  </si>
  <si>
    <t>Urna 045</t>
  </si>
  <si>
    <t>Urna 046</t>
  </si>
  <si>
    <t>Urna 047</t>
  </si>
  <si>
    <t>Urna 048</t>
  </si>
  <si>
    <t>Urna 049</t>
  </si>
  <si>
    <t>Urna 050</t>
  </si>
  <si>
    <t>Urna 051</t>
  </si>
  <si>
    <t>Urna 052</t>
  </si>
  <si>
    <t>Urna 053</t>
  </si>
  <si>
    <t>Urna 054</t>
  </si>
  <si>
    <t>Urna 055</t>
  </si>
  <si>
    <t>Urna 056</t>
  </si>
  <si>
    <t>Urna 057</t>
  </si>
  <si>
    <t>Urna 058</t>
  </si>
  <si>
    <t>Urna 059</t>
  </si>
  <si>
    <t>Urna 060</t>
  </si>
  <si>
    <t>Urna 061</t>
  </si>
  <si>
    <t>Urna 062</t>
  </si>
  <si>
    <t>Urna 063</t>
  </si>
  <si>
    <t>Urna 064</t>
  </si>
  <si>
    <t>Urna 065</t>
  </si>
  <si>
    <t>Urna 066</t>
  </si>
  <si>
    <t>Urna 067</t>
  </si>
  <si>
    <t>Urna 068</t>
  </si>
  <si>
    <t>Urna 069</t>
  </si>
  <si>
    <t>Urna 070</t>
  </si>
  <si>
    <t>Urna 071</t>
  </si>
  <si>
    <t>Urna 072</t>
  </si>
  <si>
    <t>Urna 073</t>
  </si>
  <si>
    <t>Urna 074</t>
  </si>
  <si>
    <t>Urna 075</t>
  </si>
  <si>
    <t>Urna 076</t>
  </si>
  <si>
    <t>Urna 077</t>
  </si>
  <si>
    <t>Urna 078</t>
  </si>
  <si>
    <t>Urna 079</t>
  </si>
  <si>
    <t>Urna 080</t>
  </si>
  <si>
    <t>Urna 081</t>
  </si>
  <si>
    <t>Urna 082</t>
  </si>
  <si>
    <t>Urna 083</t>
  </si>
  <si>
    <t>Urna 084</t>
  </si>
  <si>
    <t>Urna 085</t>
  </si>
  <si>
    <t>Urna 086</t>
  </si>
  <si>
    <t>Urna 087</t>
  </si>
  <si>
    <t>Urna 088</t>
  </si>
  <si>
    <t>Urna 089</t>
  </si>
  <si>
    <t>Urna 090</t>
  </si>
  <si>
    <t>Urna 091</t>
  </si>
  <si>
    <t>Urna 092</t>
  </si>
  <si>
    <t>Urna 093</t>
  </si>
  <si>
    <t>Urna 094</t>
  </si>
  <si>
    <t>Urna 095</t>
  </si>
  <si>
    <t>Urna 096</t>
  </si>
  <si>
    <t>Urna 097</t>
  </si>
  <si>
    <t>Urna 098</t>
  </si>
  <si>
    <t>Urna 099</t>
  </si>
  <si>
    <t>Urna 100</t>
  </si>
  <si>
    <t>Urna 101</t>
  </si>
  <si>
    <t>Urna 102</t>
  </si>
  <si>
    <t>Urna 103</t>
  </si>
  <si>
    <t>Urna 104</t>
  </si>
  <si>
    <t>Urna 105</t>
  </si>
  <si>
    <t>Urna 106</t>
  </si>
  <si>
    <t>Urna 107</t>
  </si>
  <si>
    <t>Urna 108</t>
  </si>
  <si>
    <t>Urna 109</t>
  </si>
  <si>
    <t>Reitor</t>
  </si>
  <si>
    <t>ARQ</t>
  </si>
  <si>
    <t>AVR</t>
  </si>
  <si>
    <t>BRT</t>
  </si>
  <si>
    <t>BRI</t>
  </si>
  <si>
    <t>BTV</t>
  </si>
  <si>
    <t>BRA</t>
  </si>
  <si>
    <t>CMP</t>
  </si>
  <si>
    <t>CJO</t>
  </si>
  <si>
    <t>CPV</t>
  </si>
  <si>
    <t>CAR</t>
  </si>
  <si>
    <t>CTD</t>
  </si>
  <si>
    <t>CBT</t>
  </si>
  <si>
    <t>GRU</t>
  </si>
  <si>
    <t>HTO</t>
  </si>
  <si>
    <t>ITP</t>
  </si>
  <si>
    <t>ITQ</t>
  </si>
  <si>
    <t>JCR</t>
  </si>
  <si>
    <t>MTO</t>
  </si>
  <si>
    <t>PRC</t>
  </si>
  <si>
    <t>PTB</t>
  </si>
  <si>
    <t>PEP</t>
  </si>
  <si>
    <t>RGT</t>
  </si>
  <si>
    <t>SLT</t>
  </si>
  <si>
    <t>SCL</t>
  </si>
  <si>
    <t>SBV</t>
  </si>
  <si>
    <t>SJC</t>
  </si>
  <si>
    <t>SPO</t>
  </si>
  <si>
    <t>SRQ</t>
  </si>
  <si>
    <t>SRT</t>
  </si>
  <si>
    <t>SOR</t>
  </si>
  <si>
    <t>SZN</t>
  </si>
  <si>
    <t>VTP</t>
  </si>
  <si>
    <t>IST</t>
  </si>
  <si>
    <t>JND</t>
  </si>
  <si>
    <t>SMP</t>
  </si>
  <si>
    <t>TUP</t>
  </si>
  <si>
    <t>Araraquara</t>
  </si>
  <si>
    <t>Avaré</t>
  </si>
  <si>
    <t>Barretos</t>
  </si>
  <si>
    <t>Birigui</t>
  </si>
  <si>
    <t>Boituva</t>
  </si>
  <si>
    <t>Campinas</t>
  </si>
  <si>
    <t>Capivari</t>
  </si>
  <si>
    <t>Caraguatatuba</t>
  </si>
  <si>
    <t>Catanduva</t>
  </si>
  <si>
    <t>Cubatão</t>
  </si>
  <si>
    <t>Bragança Paulista</t>
  </si>
  <si>
    <t>Campos do Jordão</t>
  </si>
  <si>
    <t>Guarulhos</t>
  </si>
  <si>
    <t>Hortolândia</t>
  </si>
  <si>
    <t>Itapetininga</t>
  </si>
  <si>
    <t>Itaquaquecetuba</t>
  </si>
  <si>
    <t>Jacareí</t>
  </si>
  <si>
    <t>Matão</t>
  </si>
  <si>
    <t>Piracicaba</t>
  </si>
  <si>
    <t>Registro</t>
  </si>
  <si>
    <t>Salto</t>
  </si>
  <si>
    <t>São Paulo-Pirituba</t>
  </si>
  <si>
    <t>Presidente Epitácio</t>
  </si>
  <si>
    <t>São Carlos</t>
  </si>
  <si>
    <t>São João da Boa Vista</t>
  </si>
  <si>
    <t>São José dos Campos</t>
  </si>
  <si>
    <t>São Paulo</t>
  </si>
  <si>
    <t>São Roque</t>
  </si>
  <si>
    <t>Sertãozinho</t>
  </si>
  <si>
    <t>Sorocaba</t>
  </si>
  <si>
    <t>Suzano</t>
  </si>
  <si>
    <t>Votuporanga</t>
  </si>
  <si>
    <t>Ilha Solteira</t>
  </si>
  <si>
    <t>Jundiaí</t>
  </si>
  <si>
    <t>avançado</t>
  </si>
  <si>
    <t>São Miguel Paulista</t>
  </si>
  <si>
    <t>Tupã</t>
  </si>
  <si>
    <t>INSTITUTO FEDERAL DE SÃO PAULO - ELEIÇÕES 2020</t>
  </si>
  <si>
    <t>N° de votos</t>
  </si>
  <si>
    <t>Brancos</t>
  </si>
  <si>
    <t>Nulos</t>
  </si>
  <si>
    <t>TAXA PERCENTUAL DO TOTAL DE VOTOS DO(A) CANDIDATO(A) - TVC</t>
  </si>
  <si>
    <t>Marcos Roberto Leite da Silva</t>
  </si>
  <si>
    <t>Alexandre Silva</t>
  </si>
  <si>
    <t>Fernando Henrique Gomes de Souza</t>
  </si>
  <si>
    <t>Descrição</t>
  </si>
  <si>
    <t>Total aptos por urna</t>
  </si>
  <si>
    <t>Candidato</t>
  </si>
  <si>
    <t>Segmento</t>
  </si>
  <si>
    <t>Docente</t>
  </si>
  <si>
    <t>Discente</t>
  </si>
  <si>
    <t>Votos na urna</t>
  </si>
  <si>
    <t>TOTAL ELEITORES </t>
  </si>
  <si>
    <t>Sigla</t>
  </si>
  <si>
    <t>Câmpus</t>
  </si>
  <si>
    <t>TVC [%]</t>
  </si>
  <si>
    <t>1°</t>
  </si>
  <si>
    <t>2°</t>
  </si>
  <si>
    <t>3°</t>
  </si>
  <si>
    <t xml:space="preserve">1° </t>
  </si>
  <si>
    <t xml:space="preserve">2° </t>
  </si>
  <si>
    <t xml:space="preserve">3° </t>
  </si>
  <si>
    <t>Total de votos</t>
  </si>
  <si>
    <t>Resultado (preencher manualmente o nome dos candidatos)</t>
  </si>
  <si>
    <t>n° candidatos</t>
  </si>
  <si>
    <t>Conforme o Art. 44 dos Códigos Eleitorais para Reitor do IFSP e Diretor-Geral dos câmpus do IFSP, será utilizada a seguinte fórmula</t>
  </si>
  <si>
    <t>para o cálculo do Total de Votos do Candidato a Reitor e Diretor-Geral de câmpus:</t>
  </si>
  <si>
    <t>na qual:</t>
  </si>
  <si>
    <t>Total de votos por segmento</t>
  </si>
  <si>
    <t>Total aptos</t>
  </si>
  <si>
    <t>TAXA PERCENTUAL DO TOTAL DE VOTOS - TVC</t>
  </si>
  <si>
    <t>Processo de escolha de Reitor e Diretores de Câmpus e Cãmpus avançados</t>
  </si>
  <si>
    <t>Instruções:</t>
  </si>
  <si>
    <t>Elaborado por Rui Bertho Junior - IFSP Tupã</t>
  </si>
  <si>
    <t>Utilizar o software EXCEL do pacote Office 365.</t>
  </si>
  <si>
    <t>Caso encontre alguma inconsistência nos cálculos ou na exibição do conteúdo, enviar um email para a comissão</t>
  </si>
  <si>
    <t>Esta planilha será utilizada para a apuração dos votos.</t>
  </si>
  <si>
    <t>Não há garantia de compatibilidade pela utilização de outros softwares ou versões anteriores do pacote Office.</t>
  </si>
  <si>
    <t>Ao clicar nos icones o usuário será direcionado para o conteúdo específico.</t>
  </si>
  <si>
    <t>eleitoral central, informando o problema, além do software e versão utilizados para manipular a planilha.</t>
  </si>
  <si>
    <t>Apenas células com fundo amarelo podem ter seus valores alterados.</t>
  </si>
  <si>
    <t>Participação (%)</t>
  </si>
  <si>
    <t>SJP</t>
  </si>
  <si>
    <t>São José do Rio Preto</t>
  </si>
  <si>
    <t>BRU</t>
  </si>
  <si>
    <t>Bauru</t>
  </si>
  <si>
    <t>PRU</t>
  </si>
  <si>
    <t>Presidente Prudente</t>
  </si>
  <si>
    <t>Bauru, Miracatu, Presidente Prudente, Rio Claro e Centro de Referência em Educação a Distância</t>
  </si>
  <si>
    <t>Bauru, Miracatu, Presidente Prudente, Rio Claro e Reitoria</t>
  </si>
  <si>
    <t>(Fábio Justo) Fábio José Justo dos Santos</t>
  </si>
  <si>
    <t>(Bola) Guilherme Pontieri de Lima</t>
  </si>
  <si>
    <t>Branco</t>
  </si>
  <si>
    <t>Artur da Silva Moreira</t>
  </si>
  <si>
    <t>Julio Cesar Pissuti Damalio</t>
  </si>
  <si>
    <t>Pércia Helena Sabbag Mazo</t>
  </si>
  <si>
    <t>Vanda Gorgone dos Santos</t>
  </si>
  <si>
    <t>(Prof. Túlio) Túlio Gustavo do Prado Freitas</t>
  </si>
  <si>
    <t>(Wellington Gomes) Wellington José Alves Santos Gomes</t>
  </si>
  <si>
    <t xml:space="preserve">(Adriano) Adriano de Souza Marques </t>
  </si>
  <si>
    <t>(Elisangela) Elisangela Aparecida Bulla Ikeshoji</t>
  </si>
  <si>
    <t>(Felipe Almeida) Felipe Augusto Ferreira de Almeida</t>
  </si>
  <si>
    <t>Ivan Douglas de Souza</t>
  </si>
  <si>
    <t>(Alessandra TAE) Alessandra Casimiro de Souza</t>
  </si>
  <si>
    <t>(Jefferson de Souza Pinto) Jefferson de Souza Pinto</t>
  </si>
  <si>
    <t>(José Erick) José Erick de Souza Lima</t>
  </si>
  <si>
    <t>(Marcelo Bonfim) Marcelo Garcia Bonfim</t>
  </si>
  <si>
    <t>(Prof Ramon) Ramon Rodrigues de Souza</t>
  </si>
  <si>
    <t>(Julio Pedroso) Julio Cesar Pedroso</t>
  </si>
  <si>
    <t>(Professor Bianchi) Bianchi Agostini Gobbo</t>
  </si>
  <si>
    <t>(Bruna C. Mendes) Bruna de Castro Mendes</t>
  </si>
  <si>
    <t>(Gustavo ORAN) Luiz Gustavo Paulo Oran Barros</t>
  </si>
  <si>
    <t>(Madalena) Maria Madalena de Souza Santos</t>
  </si>
  <si>
    <t>(Carlinhos Paviotti) Carlos Roberto Paviotti</t>
  </si>
  <si>
    <t>(Everton) Everton Pereira Barbosa</t>
  </si>
  <si>
    <t>Kalebe Monteiro Xavier</t>
  </si>
  <si>
    <t>Carlos Roberto Lopes Junior</t>
  </si>
  <si>
    <t>Murilo Secchieri de Carvalho</t>
  </si>
  <si>
    <t>(Prof. Xerxes)  Artarxerxes Tiago Tácito Modesto</t>
  </si>
  <si>
    <t>(Diego A. Siviero) Diego Azevedo Siviero</t>
  </si>
  <si>
    <t>(Capelas) Maurício Capelas</t>
  </si>
  <si>
    <t>(Caroline Jango) Caroline Felipe Jango da Silva</t>
  </si>
  <si>
    <t>(Prof Luiz Reis) Luiz Antônio Reis</t>
  </si>
  <si>
    <t>(Carol Mandarini) Carolina Mandarini Dias</t>
  </si>
  <si>
    <t>(Emanuel Melo) Emanuel Benedito de Melo</t>
  </si>
  <si>
    <t>(Paulo Cruz) Paulo Henrique Correia Araújo da Cruz</t>
  </si>
  <si>
    <t>(Aumir Antunes) Aumir Antunes Graciano</t>
  </si>
  <si>
    <t>(Daniela Bianchi) Daniela Bianchi Ponce Leon de Lima</t>
  </si>
  <si>
    <t>(Rodrigo Faqueri - Chapa ITQ+) Rodrigo de Freitas Faqueri</t>
  </si>
  <si>
    <t>(Giorgia Suzumura) Giorgia Yoshiko Rossignolo Suzumura Becker</t>
  </si>
  <si>
    <t>(Mauri Rodrigues) Mauri Rodrigues</t>
  </si>
  <si>
    <t>(Michel Silva Coelho) Michel Silva Coelho</t>
  </si>
  <si>
    <t xml:space="preserve">(Junior Mariotti) Claudemir Mariotti Junior </t>
  </si>
  <si>
    <t>Marcelo Cunha da Silva</t>
  </si>
  <si>
    <t>Osvaldo Severino Júnior</t>
  </si>
  <si>
    <t>(Patrícia Silva) Patrícia Cristiane Santana da Silva</t>
  </si>
  <si>
    <t>(Horta) Patrícia Horta</t>
  </si>
  <si>
    <t>(Alexandre Carniato) Alexandre Ataíde Carniato</t>
  </si>
  <si>
    <t>(Enio Freire de Paula)  Enio Freire de Paula</t>
  </si>
  <si>
    <t>(Professora Andréia Libório) Andréia Regina Silva Cabral Libório</t>
  </si>
  <si>
    <t>(Prof. TAKE) Anibal Takeshiro Fukamati</t>
  </si>
  <si>
    <t>(Ivelton) Ivelton Soares da Silva</t>
  </si>
  <si>
    <t>(RODRIGO CRUZ) Rodrigo Andrade da Cruz</t>
  </si>
  <si>
    <t>(Anderson Afuso) Anderson Yassuhiro Afuso</t>
  </si>
  <si>
    <t>(Prof. Edilson) Edilson Aparecido Bueno</t>
  </si>
  <si>
    <t>(Professor Leonardo Borges) Leonardo Borges da Cruz</t>
  </si>
  <si>
    <t>(Professor Lemes) Rodrigo Crisan Lemes</t>
  </si>
  <si>
    <t>(Viviane Garcia) Viviane Cristina Garcia de Stefani</t>
  </si>
  <si>
    <t>(Prof. Diego Valente) Diego Cesar Valente e Silva</t>
  </si>
  <si>
    <t>(Prof. Menoti) Menoti Borri</t>
  </si>
  <si>
    <t>(Sérgio Goulart) Sérgio Goulart Alves Pereira</t>
  </si>
  <si>
    <t>(Marcos Furini) Marcos Amorielle Furini</t>
  </si>
  <si>
    <t>(Shiga) Alberto Akio Shiga</t>
  </si>
  <si>
    <t>(Camila Collpy) Camila Collpy Gonzalez Fernandez</t>
  </si>
  <si>
    <t>(d’Avila) Edson D'Avila</t>
  </si>
  <si>
    <t>(Prof. Modena) Eduardo Antonio Modena</t>
  </si>
  <si>
    <t>(Giuliano Gozzi) Giuliano Gozzi</t>
  </si>
  <si>
    <t>(Luís Cláudio de Matos) Luís Cláudio de Matos Lima Jr.</t>
  </si>
  <si>
    <t>(Natanael) Natanael Benedito Amaro</t>
  </si>
  <si>
    <t>(Vitor Marçulli) Reginaldo Vitor Marçulli Pereira</t>
  </si>
  <si>
    <t>(Wellington) Wellington Pereira das Virgens</t>
  </si>
  <si>
    <t>(Prof Frank) Frank Viana Carvalho</t>
  </si>
  <si>
    <t>(Rogério de Souza) Rogério de Souza Silva</t>
  </si>
  <si>
    <t>(Plínio Alexandre dos Santos Caetano) Plínio Alexandre dos Santos Caetano</t>
  </si>
  <si>
    <t>(Rinaldo Morais) Rinaldo Macedo de Morais</t>
  </si>
  <si>
    <t>(Prof. Denilson Mirim) Denilson de Camargo Mirim</t>
  </si>
  <si>
    <t>(João Lúcio) João Lúcio de Barros</t>
  </si>
  <si>
    <t>(Salatir) Salatir Rodrigues Junior</t>
  </si>
  <si>
    <t>(Zampini Eugênio) Eugenio de Felice Zampini</t>
  </si>
  <si>
    <t>(Michael Bomm) Michael Daniel Bomm</t>
  </si>
  <si>
    <t>(Ricardo Teixeira) Ricardo Teixeira Domingues</t>
  </si>
  <si>
    <t>(Paulo Martins) Paulo Anderson Martins</t>
  </si>
  <si>
    <t>(Karina Mareti ) Karina Mareti Stranguetto</t>
  </si>
  <si>
    <t>(Altair Filho) Altair Aparecido de Oliveira Filho</t>
  </si>
  <si>
    <t>Urna 110</t>
  </si>
  <si>
    <t>Urna 111</t>
  </si>
  <si>
    <t>Urna 112</t>
  </si>
  <si>
    <t>Urna 113</t>
  </si>
  <si>
    <t>Urna 114</t>
  </si>
  <si>
    <t>Urna 115</t>
  </si>
  <si>
    <t xml:space="preserve"> Segmento </t>
  </si>
  <si>
    <t>TAEs</t>
  </si>
  <si>
    <t>Resultado</t>
  </si>
  <si>
    <t>(Prof. Adelino) Adelino Francisco de Oliveira</t>
  </si>
  <si>
    <t>(Silmário Santos) Silmário Batista dos Santos</t>
  </si>
  <si>
    <t>INSTITUTO FEDERAL DE SÃO PAULO - ELEIÇÕES 2024</t>
  </si>
  <si>
    <t>TVC [%]: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</si>
</sst>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8"/>
      <color theme="7"/>
      <name val="Calibri"/>
      <family val="2"/>
      <scheme val="minor"/>
    </font>
    <font>
      <b/>
      <sz val="14"/>
      <color theme="7"/>
      <name val="Calibri"/>
      <family val="2"/>
      <scheme val="minor"/>
    </font>
    <font>
      <b/>
      <sz val="16"/>
      <color theme="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7"/>
      <name val="Calibri"/>
      <family val="2"/>
      <scheme val="minor"/>
    </font>
    <font>
      <b/>
      <sz val="28"/>
      <color theme="7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6"/>
      <color theme="7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7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7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0" fontId="1" fillId="5" borderId="7" xfId="0" applyFont="1" applyFill="1" applyBorder="1" applyAlignment="1">
      <alignment horizontal="center" vertical="center"/>
    </xf>
    <xf numFmtId="0" fontId="0" fillId="3" borderId="0" xfId="0" applyFill="1"/>
    <xf numFmtId="0" fontId="5" fillId="5" borderId="1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/>
    </xf>
    <xf numFmtId="2" fontId="1" fillId="5" borderId="7" xfId="0" applyNumberFormat="1" applyFont="1" applyFill="1" applyBorder="1" applyAlignment="1">
      <alignment horizontal="center" vertical="center"/>
    </xf>
    <xf numFmtId="2" fontId="1" fillId="5" borderId="12" xfId="0" applyNumberFormat="1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2" fontId="2" fillId="6" borderId="11" xfId="0" applyNumberFormat="1" applyFont="1" applyFill="1" applyBorder="1" applyAlignment="1">
      <alignment horizontal="center" vertical="center"/>
    </xf>
    <xf numFmtId="2" fontId="2" fillId="6" borderId="12" xfId="0" applyNumberFormat="1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 wrapText="1"/>
    </xf>
    <xf numFmtId="2" fontId="2" fillId="6" borderId="5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49" fontId="0" fillId="0" borderId="0" xfId="0" applyNumberFormat="1"/>
    <xf numFmtId="1" fontId="0" fillId="0" borderId="0" xfId="0" applyNumberFormat="1"/>
    <xf numFmtId="2" fontId="4" fillId="3" borderId="0" xfId="0" applyNumberFormat="1" applyFont="1" applyFill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 wrapText="1"/>
    </xf>
    <xf numFmtId="2" fontId="1" fillId="5" borderId="31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15" fillId="3" borderId="0" xfId="0" applyFont="1" applyFill="1"/>
    <xf numFmtId="2" fontId="23" fillId="3" borderId="33" xfId="0" applyNumberFormat="1" applyFont="1" applyFill="1" applyBorder="1" applyAlignment="1">
      <alignment horizontal="center" vertical="center"/>
    </xf>
    <xf numFmtId="2" fontId="23" fillId="3" borderId="34" xfId="0" applyNumberFormat="1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right" vertical="center"/>
    </xf>
    <xf numFmtId="0" fontId="24" fillId="4" borderId="5" xfId="0" applyFont="1" applyFill="1" applyBorder="1" applyAlignment="1" applyProtection="1">
      <alignment horizontal="center" vertical="center"/>
      <protection locked="0"/>
    </xf>
    <xf numFmtId="2" fontId="25" fillId="6" borderId="5" xfId="0" applyNumberFormat="1" applyFont="1" applyFill="1" applyBorder="1" applyAlignment="1">
      <alignment horizontal="center" vertical="center"/>
    </xf>
    <xf numFmtId="2" fontId="25" fillId="6" borderId="11" xfId="0" applyNumberFormat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2" fontId="26" fillId="6" borderId="11" xfId="0" applyNumberFormat="1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20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2" fontId="2" fillId="6" borderId="11" xfId="0" applyNumberFormat="1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2" fontId="2" fillId="6" borderId="12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27" fillId="4" borderId="21" xfId="0" applyFont="1" applyFill="1" applyBorder="1" applyAlignment="1">
      <alignment horizontal="center" vertical="center" wrapText="1"/>
    </xf>
    <xf numFmtId="0" fontId="27" fillId="4" borderId="25" xfId="0" applyFont="1" applyFill="1" applyBorder="1" applyAlignment="1">
      <alignment horizontal="center" vertical="center" wrapText="1"/>
    </xf>
    <xf numFmtId="0" fontId="27" fillId="4" borderId="26" xfId="0" applyFont="1" applyFill="1" applyBorder="1" applyAlignment="1">
      <alignment horizontal="center" vertical="center" wrapText="1"/>
    </xf>
    <xf numFmtId="0" fontId="27" fillId="4" borderId="27" xfId="0" applyFont="1" applyFill="1" applyBorder="1" applyAlignment="1">
      <alignment horizontal="center" vertical="center" wrapText="1"/>
    </xf>
    <xf numFmtId="2" fontId="26" fillId="6" borderId="11" xfId="0" applyNumberFormat="1" applyFont="1" applyFill="1" applyBorder="1" applyAlignment="1">
      <alignment horizontal="center" vertical="center"/>
    </xf>
    <xf numFmtId="0" fontId="27" fillId="4" borderId="22" xfId="0" applyFont="1" applyFill="1" applyBorder="1" applyAlignment="1">
      <alignment horizontal="center" vertical="center" wrapText="1"/>
    </xf>
    <xf numFmtId="0" fontId="27" fillId="4" borderId="23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 wrapText="1"/>
    </xf>
    <xf numFmtId="2" fontId="26" fillId="6" borderId="12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" fillId="5" borderId="16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horizontal="center" vertical="center"/>
    </xf>
    <xf numFmtId="0" fontId="28" fillId="5" borderId="9" xfId="0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vertical="center"/>
    </xf>
    <xf numFmtId="0" fontId="28" fillId="5" borderId="14" xfId="0" applyFont="1" applyFill="1" applyBorder="1" applyAlignment="1">
      <alignment vertical="center"/>
    </xf>
    <xf numFmtId="0" fontId="28" fillId="5" borderId="4" xfId="0" applyFont="1" applyFill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/>
    </xf>
    <xf numFmtId="0" fontId="28" fillId="5" borderId="4" xfId="0" applyFont="1" applyFill="1" applyBorder="1" applyAlignment="1">
      <alignment vertical="center"/>
    </xf>
    <xf numFmtId="0" fontId="28" fillId="5" borderId="5" xfId="0" applyFont="1" applyFill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28" fillId="3" borderId="0" xfId="0" applyFont="1" applyFill="1" applyAlignment="1">
      <alignment vertical="center"/>
    </xf>
    <xf numFmtId="1" fontId="29" fillId="6" borderId="5" xfId="0" applyNumberFormat="1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center"/>
    </xf>
    <xf numFmtId="1" fontId="28" fillId="5" borderId="7" xfId="0" applyNumberFormat="1" applyFont="1" applyFill="1" applyBorder="1" applyAlignment="1">
      <alignment horizontal="center" vertical="center"/>
    </xf>
    <xf numFmtId="0" fontId="31" fillId="3" borderId="0" xfId="0" applyFont="1" applyFill="1"/>
    <xf numFmtId="2" fontId="29" fillId="6" borderId="5" xfId="0" applyNumberFormat="1" applyFont="1" applyFill="1" applyBorder="1" applyAlignment="1">
      <alignment horizontal="center" vertical="center"/>
    </xf>
    <xf numFmtId="2" fontId="28" fillId="5" borderId="7" xfId="0" applyNumberFormat="1" applyFont="1" applyFill="1" applyBorder="1" applyAlignment="1">
      <alignment horizontal="center" vertical="center"/>
    </xf>
    <xf numFmtId="0" fontId="28" fillId="5" borderId="28" xfId="0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29" fillId="7" borderId="5" xfId="0" applyFont="1" applyFill="1" applyBorder="1" applyAlignment="1">
      <alignment horizontal="center" vertical="center" wrapText="1"/>
    </xf>
    <xf numFmtId="0" fontId="28" fillId="5" borderId="29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5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vertical="center"/>
    </xf>
    <xf numFmtId="0" fontId="33" fillId="5" borderId="15" xfId="0" applyFont="1" applyFill="1" applyBorder="1" applyAlignment="1">
      <alignment vertical="center"/>
    </xf>
    <xf numFmtId="0" fontId="33" fillId="5" borderId="10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 wrapText="1"/>
    </xf>
    <xf numFmtId="0" fontId="33" fillId="5" borderId="11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/>
    </xf>
    <xf numFmtId="0" fontId="33" fillId="5" borderId="11" xfId="0" applyFont="1" applyFill="1" applyBorder="1" applyAlignment="1">
      <alignment horizontal="center" vertical="center"/>
    </xf>
    <xf numFmtId="2" fontId="33" fillId="5" borderId="11" xfId="0" applyNumberFormat="1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vertical="center"/>
    </xf>
    <xf numFmtId="0" fontId="33" fillId="5" borderId="16" xfId="0" applyFont="1" applyFill="1" applyBorder="1" applyAlignment="1">
      <alignment vertical="center"/>
    </xf>
    <xf numFmtId="0" fontId="33" fillId="5" borderId="11" xfId="0" applyFont="1" applyFill="1" applyBorder="1" applyAlignment="1">
      <alignment horizontal="center" vertical="center" wrapText="1"/>
    </xf>
    <xf numFmtId="1" fontId="34" fillId="6" borderId="5" xfId="0" applyNumberFormat="1" applyFont="1" applyFill="1" applyBorder="1" applyAlignment="1">
      <alignment horizontal="center" vertical="center"/>
    </xf>
    <xf numFmtId="1" fontId="33" fillId="5" borderId="7" xfId="0" applyNumberFormat="1" applyFont="1" applyFill="1" applyBorder="1" applyAlignment="1">
      <alignment horizontal="center" vertical="center"/>
    </xf>
    <xf numFmtId="1" fontId="33" fillId="5" borderId="12" xfId="0" applyNumberFormat="1" applyFont="1" applyFill="1" applyBorder="1" applyAlignment="1">
      <alignment horizontal="center" vertical="center"/>
    </xf>
    <xf numFmtId="0" fontId="35" fillId="3" borderId="0" xfId="0" applyFont="1" applyFill="1"/>
    <xf numFmtId="0" fontId="33" fillId="5" borderId="10" xfId="0" applyFont="1" applyFill="1" applyBorder="1" applyAlignment="1">
      <alignment horizontal="center" vertical="center"/>
    </xf>
    <xf numFmtId="2" fontId="34" fillId="6" borderId="11" xfId="0" applyNumberFormat="1" applyFont="1" applyFill="1" applyBorder="1" applyAlignment="1">
      <alignment horizontal="center" vertical="center"/>
    </xf>
    <xf numFmtId="2" fontId="35" fillId="6" borderId="11" xfId="0" applyNumberFormat="1" applyFont="1" applyFill="1" applyBorder="1" applyAlignment="1">
      <alignment horizontal="center" vertical="center"/>
    </xf>
    <xf numFmtId="0" fontId="36" fillId="3" borderId="0" xfId="0" applyFont="1" applyFill="1" applyAlignment="1">
      <alignment vertical="center"/>
    </xf>
    <xf numFmtId="0" fontId="37" fillId="4" borderId="5" xfId="0" applyFont="1" applyFill="1" applyBorder="1" applyAlignment="1" applyProtection="1">
      <alignment horizontal="center" vertical="center"/>
      <protection locked="0"/>
    </xf>
    <xf numFmtId="0" fontId="38" fillId="4" borderId="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78">
    <dxf>
      <font>
        <color theme="7"/>
      </font>
    </dxf>
    <dxf>
      <font>
        <color theme="9" tint="-0.499984740745262"/>
      </font>
      <fill>
        <patternFill>
          <fgColor theme="9" tint="-0.499984740745262"/>
        </patternFill>
      </fill>
    </dxf>
    <dxf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7"/>
      </font>
    </dxf>
    <dxf>
      <font>
        <color theme="9" tint="-0.499984740745262"/>
      </font>
      <fill>
        <patternFill>
          <fgColor theme="9" tint="-0.499984740745262"/>
        </patternFill>
      </fill>
    </dxf>
    <dxf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1"/>
      </font>
    </dxf>
    <dxf>
      <font>
        <color theme="9" tint="-0.499984740745262"/>
      </font>
      <fill>
        <patternFill>
          <fgColor theme="9" tint="-0.499984740745262"/>
        </patternFill>
      </fill>
    </dxf>
    <dxf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7"/>
      </font>
    </dxf>
    <dxf>
      <font>
        <color theme="9" tint="-0.499984740745262"/>
      </font>
      <fill>
        <patternFill>
          <fgColor theme="9" tint="-0.499984740745262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7"/>
      </font>
    </dxf>
    <dxf>
      <font>
        <color theme="9" tint="-0.499984740745262"/>
      </font>
      <fill>
        <patternFill>
          <fgColor theme="9" tint="-0.499984740745262"/>
        </patternFill>
      </fill>
    </dxf>
    <dxf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7"/>
      </font>
    </dxf>
    <dxf>
      <font>
        <color theme="9" tint="-0.499984740745262"/>
      </font>
      <fill>
        <patternFill>
          <fgColor theme="9" tint="-0.499984740745262"/>
        </patternFill>
      </fill>
    </dxf>
    <dxf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7"/>
      </font>
    </dxf>
    <dxf>
      <font>
        <color theme="9" tint="-0.499984740745262"/>
      </font>
      <fill>
        <patternFill>
          <fgColor theme="9" tint="-0.499984740745262"/>
        </patternFill>
      </fill>
    </dxf>
    <dxf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SLT!A1"/><Relationship Id="rId18" Type="http://schemas.openxmlformats.org/officeDocument/2006/relationships/hyperlink" Target="#MTO!A1"/><Relationship Id="rId26" Type="http://schemas.openxmlformats.org/officeDocument/2006/relationships/hyperlink" Target="#CAR!A1"/><Relationship Id="rId39" Type="http://schemas.openxmlformats.org/officeDocument/2006/relationships/hyperlink" Target="#SJP!A1"/><Relationship Id="rId21" Type="http://schemas.openxmlformats.org/officeDocument/2006/relationships/hyperlink" Target="#ITP!A1"/><Relationship Id="rId34" Type="http://schemas.openxmlformats.org/officeDocument/2006/relationships/hyperlink" Target="#AVR!A1"/><Relationship Id="rId7" Type="http://schemas.openxmlformats.org/officeDocument/2006/relationships/hyperlink" Target="#SRT!A1"/><Relationship Id="rId12" Type="http://schemas.openxmlformats.org/officeDocument/2006/relationships/hyperlink" Target="#SBV!A1"/><Relationship Id="rId17" Type="http://schemas.openxmlformats.org/officeDocument/2006/relationships/hyperlink" Target="#PRC!A1"/><Relationship Id="rId25" Type="http://schemas.openxmlformats.org/officeDocument/2006/relationships/hyperlink" Target="#CTD!A1"/><Relationship Id="rId33" Type="http://schemas.openxmlformats.org/officeDocument/2006/relationships/hyperlink" Target="#BRT!A1"/><Relationship Id="rId38" Type="http://schemas.openxmlformats.org/officeDocument/2006/relationships/hyperlink" Target="#TVC!A1"/><Relationship Id="rId2" Type="http://schemas.openxmlformats.org/officeDocument/2006/relationships/hyperlink" Target="#JND!A1"/><Relationship Id="rId16" Type="http://schemas.openxmlformats.org/officeDocument/2006/relationships/hyperlink" Target="#PTB!A1"/><Relationship Id="rId20" Type="http://schemas.openxmlformats.org/officeDocument/2006/relationships/hyperlink" Target="#ITQ!A1"/><Relationship Id="rId29" Type="http://schemas.openxmlformats.org/officeDocument/2006/relationships/hyperlink" Target="#CMP!A1"/><Relationship Id="rId1" Type="http://schemas.openxmlformats.org/officeDocument/2006/relationships/hyperlink" Target="#SMP!A1"/><Relationship Id="rId6" Type="http://schemas.openxmlformats.org/officeDocument/2006/relationships/hyperlink" Target="#SOR!A1"/><Relationship Id="rId11" Type="http://schemas.openxmlformats.org/officeDocument/2006/relationships/hyperlink" Target="#SJC!A1"/><Relationship Id="rId24" Type="http://schemas.openxmlformats.org/officeDocument/2006/relationships/hyperlink" Target="#CBT!A1"/><Relationship Id="rId32" Type="http://schemas.openxmlformats.org/officeDocument/2006/relationships/hyperlink" Target="#BRI!A1"/><Relationship Id="rId37" Type="http://schemas.openxmlformats.org/officeDocument/2006/relationships/hyperlink" Target="#Reitor!A1"/><Relationship Id="rId5" Type="http://schemas.openxmlformats.org/officeDocument/2006/relationships/hyperlink" Target="#SZN!A1"/><Relationship Id="rId15" Type="http://schemas.openxmlformats.org/officeDocument/2006/relationships/hyperlink" Target="#PEP!A1"/><Relationship Id="rId23" Type="http://schemas.openxmlformats.org/officeDocument/2006/relationships/hyperlink" Target="#GRU!A1"/><Relationship Id="rId28" Type="http://schemas.openxmlformats.org/officeDocument/2006/relationships/hyperlink" Target="#CJO!A1"/><Relationship Id="rId36" Type="http://schemas.openxmlformats.org/officeDocument/2006/relationships/hyperlink" Target="#TUP!A1"/><Relationship Id="rId10" Type="http://schemas.openxmlformats.org/officeDocument/2006/relationships/hyperlink" Target="#SPO!A1"/><Relationship Id="rId19" Type="http://schemas.openxmlformats.org/officeDocument/2006/relationships/hyperlink" Target="#JCR!A1"/><Relationship Id="rId31" Type="http://schemas.openxmlformats.org/officeDocument/2006/relationships/hyperlink" Target="#BTV!A1"/><Relationship Id="rId4" Type="http://schemas.openxmlformats.org/officeDocument/2006/relationships/hyperlink" Target="#VTP!A1"/><Relationship Id="rId9" Type="http://schemas.openxmlformats.org/officeDocument/2006/relationships/hyperlink" Target="#SCL!A1"/><Relationship Id="rId14" Type="http://schemas.openxmlformats.org/officeDocument/2006/relationships/hyperlink" Target="#RGT!A1"/><Relationship Id="rId22" Type="http://schemas.openxmlformats.org/officeDocument/2006/relationships/hyperlink" Target="#HTO!A1"/><Relationship Id="rId27" Type="http://schemas.openxmlformats.org/officeDocument/2006/relationships/hyperlink" Target="#CPV!A1"/><Relationship Id="rId30" Type="http://schemas.openxmlformats.org/officeDocument/2006/relationships/hyperlink" Target="#BRA!A1"/><Relationship Id="rId35" Type="http://schemas.openxmlformats.org/officeDocument/2006/relationships/hyperlink" Target="#ARQ!A1"/><Relationship Id="rId8" Type="http://schemas.openxmlformats.org/officeDocument/2006/relationships/hyperlink" Target="#SRQ!A1"/><Relationship Id="rId3" Type="http://schemas.openxmlformats.org/officeDocument/2006/relationships/hyperlink" Target="#IST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#SBV!A1"/><Relationship Id="rId18" Type="http://schemas.openxmlformats.org/officeDocument/2006/relationships/hyperlink" Target="#PRC!A1"/><Relationship Id="rId26" Type="http://schemas.openxmlformats.org/officeDocument/2006/relationships/hyperlink" Target="#CTD!A1"/><Relationship Id="rId21" Type="http://schemas.openxmlformats.org/officeDocument/2006/relationships/hyperlink" Target="#ITQ!A1"/><Relationship Id="rId34" Type="http://schemas.openxmlformats.org/officeDocument/2006/relationships/hyperlink" Target="#BRT!A1"/><Relationship Id="rId7" Type="http://schemas.openxmlformats.org/officeDocument/2006/relationships/hyperlink" Target="#SOR!A1"/><Relationship Id="rId12" Type="http://schemas.openxmlformats.org/officeDocument/2006/relationships/hyperlink" Target="#SJC!A1"/><Relationship Id="rId17" Type="http://schemas.openxmlformats.org/officeDocument/2006/relationships/hyperlink" Target="#PTB!A1"/><Relationship Id="rId25" Type="http://schemas.openxmlformats.org/officeDocument/2006/relationships/hyperlink" Target="#CBT!A1"/><Relationship Id="rId33" Type="http://schemas.openxmlformats.org/officeDocument/2006/relationships/hyperlink" Target="#BRI!A1"/><Relationship Id="rId38" Type="http://schemas.openxmlformats.org/officeDocument/2006/relationships/hyperlink" Target="#SJP!A1"/><Relationship Id="rId2" Type="http://schemas.openxmlformats.org/officeDocument/2006/relationships/hyperlink" Target="#SMP!A1"/><Relationship Id="rId16" Type="http://schemas.openxmlformats.org/officeDocument/2006/relationships/hyperlink" Target="#PEP!A1"/><Relationship Id="rId20" Type="http://schemas.openxmlformats.org/officeDocument/2006/relationships/hyperlink" Target="#JCR!A1"/><Relationship Id="rId29" Type="http://schemas.openxmlformats.org/officeDocument/2006/relationships/hyperlink" Target="#CJO!A1"/><Relationship Id="rId1" Type="http://schemas.openxmlformats.org/officeDocument/2006/relationships/hyperlink" Target="#Menu!A1"/><Relationship Id="rId6" Type="http://schemas.openxmlformats.org/officeDocument/2006/relationships/hyperlink" Target="#SZN!A1"/><Relationship Id="rId11" Type="http://schemas.openxmlformats.org/officeDocument/2006/relationships/hyperlink" Target="#SPO!A1"/><Relationship Id="rId24" Type="http://schemas.openxmlformats.org/officeDocument/2006/relationships/hyperlink" Target="#GRU!A1"/><Relationship Id="rId32" Type="http://schemas.openxmlformats.org/officeDocument/2006/relationships/hyperlink" Target="#BTV!A1"/><Relationship Id="rId37" Type="http://schemas.openxmlformats.org/officeDocument/2006/relationships/hyperlink" Target="#TUP!A1"/><Relationship Id="rId5" Type="http://schemas.openxmlformats.org/officeDocument/2006/relationships/hyperlink" Target="#VTP!A1"/><Relationship Id="rId15" Type="http://schemas.openxmlformats.org/officeDocument/2006/relationships/hyperlink" Target="#RGT!A1"/><Relationship Id="rId23" Type="http://schemas.openxmlformats.org/officeDocument/2006/relationships/hyperlink" Target="#HTO!A1"/><Relationship Id="rId28" Type="http://schemas.openxmlformats.org/officeDocument/2006/relationships/hyperlink" Target="#CPV!A1"/><Relationship Id="rId36" Type="http://schemas.openxmlformats.org/officeDocument/2006/relationships/hyperlink" Target="#ARQ!A1"/><Relationship Id="rId10" Type="http://schemas.openxmlformats.org/officeDocument/2006/relationships/hyperlink" Target="#SCL!A1"/><Relationship Id="rId19" Type="http://schemas.openxmlformats.org/officeDocument/2006/relationships/hyperlink" Target="#MTO!A1"/><Relationship Id="rId31" Type="http://schemas.openxmlformats.org/officeDocument/2006/relationships/hyperlink" Target="#BRA!A1"/><Relationship Id="rId4" Type="http://schemas.openxmlformats.org/officeDocument/2006/relationships/hyperlink" Target="#IST!A1"/><Relationship Id="rId9" Type="http://schemas.openxmlformats.org/officeDocument/2006/relationships/hyperlink" Target="#SRQ!A1"/><Relationship Id="rId14" Type="http://schemas.openxmlformats.org/officeDocument/2006/relationships/hyperlink" Target="#SLT!A1"/><Relationship Id="rId22" Type="http://schemas.openxmlformats.org/officeDocument/2006/relationships/hyperlink" Target="#ITP!A1"/><Relationship Id="rId27" Type="http://schemas.openxmlformats.org/officeDocument/2006/relationships/hyperlink" Target="#CAR!A1"/><Relationship Id="rId30" Type="http://schemas.openxmlformats.org/officeDocument/2006/relationships/hyperlink" Target="#CMP!A1"/><Relationship Id="rId35" Type="http://schemas.openxmlformats.org/officeDocument/2006/relationships/hyperlink" Target="#AVR!A1"/><Relationship Id="rId8" Type="http://schemas.openxmlformats.org/officeDocument/2006/relationships/hyperlink" Target="#SRT!A1"/><Relationship Id="rId3" Type="http://schemas.openxmlformats.org/officeDocument/2006/relationships/hyperlink" Target="#JND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Reitor!A1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Reitor!A1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Reitor!A1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Reitor!A1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Reitor!A1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Reitor!A1"/><Relationship Id="rId1" Type="http://schemas.openxmlformats.org/officeDocument/2006/relationships/hyperlink" Target="#Menu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Reitor!A1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304800</xdr:colOff>
      <xdr:row>1</xdr:row>
      <xdr:rowOff>142875</xdr:rowOff>
    </xdr:from>
    <xdr:to>
      <xdr:col>25</xdr:col>
      <xdr:colOff>352425</xdr:colOff>
      <xdr:row>42</xdr:row>
      <xdr:rowOff>28575</xdr:rowOff>
    </xdr:to>
    <xdr:grpSp>
      <xdr:nvGrpSpPr>
        <xdr:cNvPr id="47" name="Agrupar 46">
          <a:extLst>
            <a:ext uri="{FF2B5EF4-FFF2-40B4-BE49-F238E27FC236}">
              <a16:creationId xmlns:a16="http://schemas.microsoft.com/office/drawing/2014/main" id="{BE72C0D9-D129-41B4-BB95-F15153C7FD9C}"/>
            </a:ext>
          </a:extLst>
        </xdr:cNvPr>
        <xdr:cNvGrpSpPr/>
      </xdr:nvGrpSpPr>
      <xdr:grpSpPr>
        <a:xfrm>
          <a:off x="7835153" y="320264"/>
          <a:ext cx="8207412" cy="7460877"/>
          <a:chOff x="7620000" y="695325"/>
          <a:chExt cx="7972425" cy="6753225"/>
        </a:xfrm>
      </xdr:grpSpPr>
      <xdr:sp macro="" textlink="">
        <xdr:nvSpPr>
          <xdr:cNvPr id="42" name="Retângulo: Cantos Arredondados 41">
            <a:extLst>
              <a:ext uri="{FF2B5EF4-FFF2-40B4-BE49-F238E27FC236}">
                <a16:creationId xmlns:a16="http://schemas.microsoft.com/office/drawing/2014/main" id="{990493C3-0306-46B6-8F8A-D44137F808A0}"/>
              </a:ext>
            </a:extLst>
          </xdr:cNvPr>
          <xdr:cNvSpPr/>
        </xdr:nvSpPr>
        <xdr:spPr>
          <a:xfrm>
            <a:off x="7620000" y="695325"/>
            <a:ext cx="7972425" cy="6753225"/>
          </a:xfrm>
          <a:prstGeom prst="roundRect">
            <a:avLst>
              <a:gd name="adj" fmla="val 3832"/>
            </a:avLst>
          </a:prstGeom>
          <a:solidFill>
            <a:schemeClr val="accent6">
              <a:lumMod val="75000"/>
            </a:schemeClr>
          </a:solidFill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6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Escolha</a:t>
            </a:r>
            <a:r>
              <a:rPr lang="pt-BR" sz="16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dos Diretores Gerais</a:t>
            </a:r>
            <a:endParaRPr lang="pt-BR" sz="1600">
              <a:effectLst/>
            </a:endParaRPr>
          </a:p>
        </xdr:txBody>
      </xdr:sp>
      <xdr:sp macro="" textlink="">
        <xdr:nvSpPr>
          <xdr:cNvPr id="46" name="Retângulo: Cantos Arredondados 45">
            <a:extLst>
              <a:ext uri="{FF2B5EF4-FFF2-40B4-BE49-F238E27FC236}">
                <a16:creationId xmlns:a16="http://schemas.microsoft.com/office/drawing/2014/main" id="{C0A2F6AC-E01A-4F6B-AE64-3C83BC052858}"/>
              </a:ext>
            </a:extLst>
          </xdr:cNvPr>
          <xdr:cNvSpPr/>
        </xdr:nvSpPr>
        <xdr:spPr>
          <a:xfrm>
            <a:off x="13325476" y="1266825"/>
            <a:ext cx="2019300" cy="5981700"/>
          </a:xfrm>
          <a:prstGeom prst="roundRect">
            <a:avLst>
              <a:gd name="adj" fmla="val 10349"/>
            </a:avLst>
          </a:prstGeom>
          <a:solidFill>
            <a:schemeClr val="accent6">
              <a:lumMod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pt-BR" sz="1600" b="1"/>
              <a:t>Campus avançados</a:t>
            </a:r>
          </a:p>
        </xdr:txBody>
      </xdr:sp>
      <xdr:sp macro="" textlink="">
        <xdr:nvSpPr>
          <xdr:cNvPr id="45" name="Retângulo: Cantos Arredondados 44">
            <a:extLst>
              <a:ext uri="{FF2B5EF4-FFF2-40B4-BE49-F238E27FC236}">
                <a16:creationId xmlns:a16="http://schemas.microsoft.com/office/drawing/2014/main" id="{80BBDF37-99DF-43D1-A382-B622F2D63C82}"/>
              </a:ext>
            </a:extLst>
          </xdr:cNvPr>
          <xdr:cNvSpPr/>
        </xdr:nvSpPr>
        <xdr:spPr>
          <a:xfrm>
            <a:off x="7896225" y="1285875"/>
            <a:ext cx="5248275" cy="5981700"/>
          </a:xfrm>
          <a:prstGeom prst="roundRect">
            <a:avLst>
              <a:gd name="adj" fmla="val 4689"/>
            </a:avLst>
          </a:prstGeom>
          <a:solidFill>
            <a:schemeClr val="accent6">
              <a:lumMod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pt-BR" sz="1600" b="1"/>
              <a:t>Campus</a:t>
            </a:r>
          </a:p>
        </xdr:txBody>
      </xdr:sp>
    </xdr:grpSp>
    <xdr:clientData/>
  </xdr:twoCellAnchor>
  <xdr:twoCellAnchor>
    <xdr:from>
      <xdr:col>22</xdr:col>
      <xdr:colOff>476250</xdr:colOff>
      <xdr:row>23</xdr:row>
      <xdr:rowOff>130175</xdr:rowOff>
    </xdr:from>
    <xdr:to>
      <xdr:col>24</xdr:col>
      <xdr:colOff>209550</xdr:colOff>
      <xdr:row>26</xdr:row>
      <xdr:rowOff>92075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4B96E3-7FE6-44AF-9B77-C04D7FED0589}"/>
            </a:ext>
          </a:extLst>
        </xdr:cNvPr>
        <xdr:cNvSpPr/>
      </xdr:nvSpPr>
      <xdr:spPr>
        <a:xfrm>
          <a:off x="13788838" y="4724587"/>
          <a:ext cx="943536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SMP</a:t>
          </a:r>
        </a:p>
      </xdr:txBody>
    </xdr:sp>
    <xdr:clientData/>
  </xdr:twoCellAnchor>
  <xdr:twoCellAnchor>
    <xdr:from>
      <xdr:col>22</xdr:col>
      <xdr:colOff>476250</xdr:colOff>
      <xdr:row>15</xdr:row>
      <xdr:rowOff>88900</xdr:rowOff>
    </xdr:from>
    <xdr:to>
      <xdr:col>24</xdr:col>
      <xdr:colOff>209550</xdr:colOff>
      <xdr:row>18</xdr:row>
      <xdr:rowOff>50800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1113D3-6AD9-47D1-9A34-189A44F970DC}"/>
            </a:ext>
          </a:extLst>
        </xdr:cNvPr>
        <xdr:cNvSpPr/>
      </xdr:nvSpPr>
      <xdr:spPr>
        <a:xfrm>
          <a:off x="13788838" y="3159312"/>
          <a:ext cx="943536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JND</a:t>
          </a:r>
        </a:p>
      </xdr:txBody>
    </xdr:sp>
    <xdr:clientData/>
  </xdr:twoCellAnchor>
  <xdr:twoCellAnchor>
    <xdr:from>
      <xdr:col>22</xdr:col>
      <xdr:colOff>476250</xdr:colOff>
      <xdr:row>7</xdr:row>
      <xdr:rowOff>47625</xdr:rowOff>
    </xdr:from>
    <xdr:to>
      <xdr:col>24</xdr:col>
      <xdr:colOff>209550</xdr:colOff>
      <xdr:row>10</xdr:row>
      <xdr:rowOff>9525</xdr:rowOff>
    </xdr:to>
    <xdr:sp macro="" textlink="">
      <xdr:nvSpPr>
        <xdr:cNvPr id="6" name="Retângulo: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B9663EA-D0E5-4F13-A24F-682978B37280}"/>
            </a:ext>
          </a:extLst>
        </xdr:cNvPr>
        <xdr:cNvSpPr/>
      </xdr:nvSpPr>
      <xdr:spPr>
        <a:xfrm>
          <a:off x="13788838" y="1594037"/>
          <a:ext cx="943536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IST</a:t>
          </a:r>
        </a:p>
      </xdr:txBody>
    </xdr:sp>
    <xdr:clientData/>
  </xdr:twoCellAnchor>
  <xdr:twoCellAnchor>
    <xdr:from>
      <xdr:col>19</xdr:col>
      <xdr:colOff>263338</xdr:colOff>
      <xdr:row>25</xdr:row>
      <xdr:rowOff>4841</xdr:rowOff>
    </xdr:from>
    <xdr:to>
      <xdr:col>20</xdr:col>
      <xdr:colOff>601756</xdr:colOff>
      <xdr:row>27</xdr:row>
      <xdr:rowOff>157241</xdr:rowOff>
    </xdr:to>
    <xdr:sp macro="" textlink="">
      <xdr:nvSpPr>
        <xdr:cNvPr id="7" name="Retângulo: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EB27E9A-8BB9-4FFE-A132-AFAEADB8D315}"/>
            </a:ext>
          </a:extLst>
        </xdr:cNvPr>
        <xdr:cNvSpPr/>
      </xdr:nvSpPr>
      <xdr:spPr>
        <a:xfrm>
          <a:off x="11760573" y="4980253"/>
          <a:ext cx="943536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VTP</a:t>
          </a:r>
        </a:p>
      </xdr:txBody>
    </xdr:sp>
    <xdr:clientData/>
  </xdr:twoCellAnchor>
  <xdr:twoCellAnchor>
    <xdr:from>
      <xdr:col>19</xdr:col>
      <xdr:colOff>263338</xdr:colOff>
      <xdr:row>21</xdr:row>
      <xdr:rowOff>88205</xdr:rowOff>
    </xdr:from>
    <xdr:to>
      <xdr:col>20</xdr:col>
      <xdr:colOff>601756</xdr:colOff>
      <xdr:row>24</xdr:row>
      <xdr:rowOff>50105</xdr:rowOff>
    </xdr:to>
    <xdr:sp macro="" textlink="">
      <xdr:nvSpPr>
        <xdr:cNvPr id="8" name="Retângulo: Cantos Arredondado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E7C3998-A6DC-4354-A9F3-E2D616AA0111}"/>
            </a:ext>
          </a:extLst>
        </xdr:cNvPr>
        <xdr:cNvSpPr/>
      </xdr:nvSpPr>
      <xdr:spPr>
        <a:xfrm>
          <a:off x="11760573" y="4301617"/>
          <a:ext cx="943536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SZN</a:t>
          </a:r>
        </a:p>
      </xdr:txBody>
    </xdr:sp>
    <xdr:clientData/>
  </xdr:twoCellAnchor>
  <xdr:twoCellAnchor>
    <xdr:from>
      <xdr:col>19</xdr:col>
      <xdr:colOff>263338</xdr:colOff>
      <xdr:row>17</xdr:row>
      <xdr:rowOff>171569</xdr:rowOff>
    </xdr:from>
    <xdr:to>
      <xdr:col>20</xdr:col>
      <xdr:colOff>601756</xdr:colOff>
      <xdr:row>20</xdr:row>
      <xdr:rowOff>133469</xdr:rowOff>
    </xdr:to>
    <xdr:sp macro="" textlink="">
      <xdr:nvSpPr>
        <xdr:cNvPr id="9" name="Retângulo: Cantos Arredondado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00E1C19-DFEC-48FC-AD9F-E63C91E3704D}"/>
            </a:ext>
          </a:extLst>
        </xdr:cNvPr>
        <xdr:cNvSpPr/>
      </xdr:nvSpPr>
      <xdr:spPr>
        <a:xfrm>
          <a:off x="11760573" y="3622981"/>
          <a:ext cx="943536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SOR</a:t>
          </a:r>
        </a:p>
      </xdr:txBody>
    </xdr:sp>
    <xdr:clientData/>
  </xdr:twoCellAnchor>
  <xdr:twoCellAnchor>
    <xdr:from>
      <xdr:col>19</xdr:col>
      <xdr:colOff>263338</xdr:colOff>
      <xdr:row>14</xdr:row>
      <xdr:rowOff>64433</xdr:rowOff>
    </xdr:from>
    <xdr:to>
      <xdr:col>20</xdr:col>
      <xdr:colOff>601756</xdr:colOff>
      <xdr:row>17</xdr:row>
      <xdr:rowOff>26333</xdr:rowOff>
    </xdr:to>
    <xdr:sp macro="" textlink="">
      <xdr:nvSpPr>
        <xdr:cNvPr id="10" name="Retângulo: Cantos Arredondado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BA2FCF8-DD6B-4717-B46D-4AFA639881A2}"/>
            </a:ext>
          </a:extLst>
        </xdr:cNvPr>
        <xdr:cNvSpPr/>
      </xdr:nvSpPr>
      <xdr:spPr>
        <a:xfrm>
          <a:off x="11760573" y="2944345"/>
          <a:ext cx="943536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SRT</a:t>
          </a:r>
        </a:p>
      </xdr:txBody>
    </xdr:sp>
    <xdr:clientData/>
  </xdr:twoCellAnchor>
  <xdr:twoCellAnchor>
    <xdr:from>
      <xdr:col>19</xdr:col>
      <xdr:colOff>263338</xdr:colOff>
      <xdr:row>10</xdr:row>
      <xdr:rowOff>147797</xdr:rowOff>
    </xdr:from>
    <xdr:to>
      <xdr:col>20</xdr:col>
      <xdr:colOff>601756</xdr:colOff>
      <xdr:row>13</xdr:row>
      <xdr:rowOff>109697</xdr:rowOff>
    </xdr:to>
    <xdr:sp macro="" textlink="">
      <xdr:nvSpPr>
        <xdr:cNvPr id="11" name="Retângulo: Cantos Arredondados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1232A5C-69B3-4930-BAF9-F760F69F0D80}"/>
            </a:ext>
          </a:extLst>
        </xdr:cNvPr>
        <xdr:cNvSpPr/>
      </xdr:nvSpPr>
      <xdr:spPr>
        <a:xfrm>
          <a:off x="11760573" y="2265709"/>
          <a:ext cx="943536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SRQ</a:t>
          </a:r>
        </a:p>
      </xdr:txBody>
    </xdr:sp>
    <xdr:clientData/>
  </xdr:twoCellAnchor>
  <xdr:twoCellAnchor>
    <xdr:from>
      <xdr:col>17</xdr:col>
      <xdr:colOff>215386</xdr:colOff>
      <xdr:row>28</xdr:row>
      <xdr:rowOff>111977</xdr:rowOff>
    </xdr:from>
    <xdr:to>
      <xdr:col>18</xdr:col>
      <xdr:colOff>553804</xdr:colOff>
      <xdr:row>31</xdr:row>
      <xdr:rowOff>73877</xdr:rowOff>
    </xdr:to>
    <xdr:sp macro="" textlink="">
      <xdr:nvSpPr>
        <xdr:cNvPr id="12" name="Retângulo: Cantos Arredondados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9936144-5884-4A32-9319-FB92CAB8F0BE}"/>
            </a:ext>
          </a:extLst>
        </xdr:cNvPr>
        <xdr:cNvSpPr/>
      </xdr:nvSpPr>
      <xdr:spPr>
        <a:xfrm>
          <a:off x="10502386" y="5658889"/>
          <a:ext cx="943536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SCL</a:t>
          </a:r>
        </a:p>
      </xdr:txBody>
    </xdr:sp>
    <xdr:clientData/>
  </xdr:twoCellAnchor>
  <xdr:twoCellAnchor>
    <xdr:from>
      <xdr:col>19</xdr:col>
      <xdr:colOff>263338</xdr:colOff>
      <xdr:row>7</xdr:row>
      <xdr:rowOff>40661</xdr:rowOff>
    </xdr:from>
    <xdr:to>
      <xdr:col>20</xdr:col>
      <xdr:colOff>601756</xdr:colOff>
      <xdr:row>10</xdr:row>
      <xdr:rowOff>2561</xdr:rowOff>
    </xdr:to>
    <xdr:sp macro="" textlink="">
      <xdr:nvSpPr>
        <xdr:cNvPr id="13" name="Retângulo: Cantos Arredondados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09343D6-F526-4881-9273-9859ED6252A0}"/>
            </a:ext>
          </a:extLst>
        </xdr:cNvPr>
        <xdr:cNvSpPr/>
      </xdr:nvSpPr>
      <xdr:spPr>
        <a:xfrm>
          <a:off x="11760573" y="1587073"/>
          <a:ext cx="943536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SPO</a:t>
          </a:r>
        </a:p>
      </xdr:txBody>
    </xdr:sp>
    <xdr:clientData/>
  </xdr:twoCellAnchor>
  <xdr:twoCellAnchor>
    <xdr:from>
      <xdr:col>17</xdr:col>
      <xdr:colOff>215386</xdr:colOff>
      <xdr:row>35</xdr:row>
      <xdr:rowOff>135751</xdr:rowOff>
    </xdr:from>
    <xdr:to>
      <xdr:col>18</xdr:col>
      <xdr:colOff>553804</xdr:colOff>
      <xdr:row>38</xdr:row>
      <xdr:rowOff>97651</xdr:rowOff>
    </xdr:to>
    <xdr:sp macro="" textlink="">
      <xdr:nvSpPr>
        <xdr:cNvPr id="14" name="Retângulo: Cantos Arredondados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42DCC58-3DAB-4462-8770-F7B62B4F4BE6}"/>
            </a:ext>
          </a:extLst>
        </xdr:cNvPr>
        <xdr:cNvSpPr/>
      </xdr:nvSpPr>
      <xdr:spPr>
        <a:xfrm>
          <a:off x="10502386" y="7016163"/>
          <a:ext cx="943536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SJC</a:t>
          </a:r>
        </a:p>
      </xdr:txBody>
    </xdr:sp>
    <xdr:clientData/>
  </xdr:twoCellAnchor>
  <xdr:twoCellAnchor>
    <xdr:from>
      <xdr:col>17</xdr:col>
      <xdr:colOff>215386</xdr:colOff>
      <xdr:row>32</xdr:row>
      <xdr:rowOff>28613</xdr:rowOff>
    </xdr:from>
    <xdr:to>
      <xdr:col>18</xdr:col>
      <xdr:colOff>553804</xdr:colOff>
      <xdr:row>34</xdr:row>
      <xdr:rowOff>181013</xdr:rowOff>
    </xdr:to>
    <xdr:sp macro="" textlink="">
      <xdr:nvSpPr>
        <xdr:cNvPr id="15" name="Retângulo: Cantos Arredondados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425C810-DA51-4592-A560-B2C4742DBE7A}"/>
            </a:ext>
          </a:extLst>
        </xdr:cNvPr>
        <xdr:cNvSpPr/>
      </xdr:nvSpPr>
      <xdr:spPr>
        <a:xfrm>
          <a:off x="10502386" y="6337525"/>
          <a:ext cx="943536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SBV</a:t>
          </a:r>
        </a:p>
      </xdr:txBody>
    </xdr:sp>
    <xdr:clientData/>
  </xdr:twoCellAnchor>
  <xdr:twoCellAnchor>
    <xdr:from>
      <xdr:col>17</xdr:col>
      <xdr:colOff>213145</xdr:colOff>
      <xdr:row>21</xdr:row>
      <xdr:rowOff>88205</xdr:rowOff>
    </xdr:from>
    <xdr:to>
      <xdr:col>18</xdr:col>
      <xdr:colOff>556045</xdr:colOff>
      <xdr:row>24</xdr:row>
      <xdr:rowOff>50105</xdr:rowOff>
    </xdr:to>
    <xdr:sp macro="" textlink="">
      <xdr:nvSpPr>
        <xdr:cNvPr id="16" name="Retângulo: Cantos Arredondados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99BFB5D-CA89-4D5C-BA5D-2A4BB6D6FCE7}"/>
            </a:ext>
          </a:extLst>
        </xdr:cNvPr>
        <xdr:cNvSpPr/>
      </xdr:nvSpPr>
      <xdr:spPr>
        <a:xfrm>
          <a:off x="10500145" y="4301617"/>
          <a:ext cx="948018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SLT</a:t>
          </a:r>
        </a:p>
      </xdr:txBody>
    </xdr:sp>
    <xdr:clientData/>
  </xdr:twoCellAnchor>
  <xdr:twoCellAnchor>
    <xdr:from>
      <xdr:col>17</xdr:col>
      <xdr:colOff>213145</xdr:colOff>
      <xdr:row>17</xdr:row>
      <xdr:rowOff>171569</xdr:rowOff>
    </xdr:from>
    <xdr:to>
      <xdr:col>18</xdr:col>
      <xdr:colOff>556045</xdr:colOff>
      <xdr:row>20</xdr:row>
      <xdr:rowOff>133469</xdr:rowOff>
    </xdr:to>
    <xdr:sp macro="" textlink="">
      <xdr:nvSpPr>
        <xdr:cNvPr id="17" name="Retângulo: Cantos Arredondados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02B7232-05E7-4A28-B0F2-0CCCEAA00AE2}"/>
            </a:ext>
          </a:extLst>
        </xdr:cNvPr>
        <xdr:cNvSpPr/>
      </xdr:nvSpPr>
      <xdr:spPr>
        <a:xfrm>
          <a:off x="10500145" y="3622981"/>
          <a:ext cx="948018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RGT</a:t>
          </a:r>
        </a:p>
      </xdr:txBody>
    </xdr:sp>
    <xdr:clientData/>
  </xdr:twoCellAnchor>
  <xdr:twoCellAnchor>
    <xdr:from>
      <xdr:col>17</xdr:col>
      <xdr:colOff>213145</xdr:colOff>
      <xdr:row>14</xdr:row>
      <xdr:rowOff>64433</xdr:rowOff>
    </xdr:from>
    <xdr:to>
      <xdr:col>18</xdr:col>
      <xdr:colOff>556045</xdr:colOff>
      <xdr:row>17</xdr:row>
      <xdr:rowOff>26333</xdr:rowOff>
    </xdr:to>
    <xdr:sp macro="" textlink="">
      <xdr:nvSpPr>
        <xdr:cNvPr id="18" name="Retângulo: Cantos Arredondados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7110EC9-0D08-4755-AE2D-8A9AE46FDA91}"/>
            </a:ext>
          </a:extLst>
        </xdr:cNvPr>
        <xdr:cNvSpPr/>
      </xdr:nvSpPr>
      <xdr:spPr>
        <a:xfrm>
          <a:off x="10500145" y="2944345"/>
          <a:ext cx="948018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PEP</a:t>
          </a:r>
        </a:p>
      </xdr:txBody>
    </xdr:sp>
    <xdr:clientData/>
  </xdr:twoCellAnchor>
  <xdr:twoCellAnchor>
    <xdr:from>
      <xdr:col>17</xdr:col>
      <xdr:colOff>213145</xdr:colOff>
      <xdr:row>10</xdr:row>
      <xdr:rowOff>147797</xdr:rowOff>
    </xdr:from>
    <xdr:to>
      <xdr:col>18</xdr:col>
      <xdr:colOff>556045</xdr:colOff>
      <xdr:row>13</xdr:row>
      <xdr:rowOff>109697</xdr:rowOff>
    </xdr:to>
    <xdr:sp macro="" textlink="">
      <xdr:nvSpPr>
        <xdr:cNvPr id="19" name="Retângulo: Cantos Arredondados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E60ED84E-65C0-4786-B855-59E99FE2DAB0}"/>
            </a:ext>
          </a:extLst>
        </xdr:cNvPr>
        <xdr:cNvSpPr/>
      </xdr:nvSpPr>
      <xdr:spPr>
        <a:xfrm>
          <a:off x="10500145" y="2265709"/>
          <a:ext cx="948018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PTB</a:t>
          </a:r>
        </a:p>
      </xdr:txBody>
    </xdr:sp>
    <xdr:clientData/>
  </xdr:twoCellAnchor>
  <xdr:twoCellAnchor>
    <xdr:from>
      <xdr:col>17</xdr:col>
      <xdr:colOff>213145</xdr:colOff>
      <xdr:row>7</xdr:row>
      <xdr:rowOff>40661</xdr:rowOff>
    </xdr:from>
    <xdr:to>
      <xdr:col>18</xdr:col>
      <xdr:colOff>556045</xdr:colOff>
      <xdr:row>10</xdr:row>
      <xdr:rowOff>2561</xdr:rowOff>
    </xdr:to>
    <xdr:sp macro="" textlink="">
      <xdr:nvSpPr>
        <xdr:cNvPr id="20" name="Retângulo: Cantos Arredondados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8E0FB168-AA95-45B8-A6E2-76A3A9F3907D}"/>
            </a:ext>
          </a:extLst>
        </xdr:cNvPr>
        <xdr:cNvSpPr/>
      </xdr:nvSpPr>
      <xdr:spPr>
        <a:xfrm>
          <a:off x="10500145" y="1587073"/>
          <a:ext cx="948018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PRC</a:t>
          </a:r>
        </a:p>
      </xdr:txBody>
    </xdr:sp>
    <xdr:clientData/>
  </xdr:twoCellAnchor>
  <xdr:twoCellAnchor>
    <xdr:from>
      <xdr:col>15</xdr:col>
      <xdr:colOff>186250</xdr:colOff>
      <xdr:row>35</xdr:row>
      <xdr:rowOff>135751</xdr:rowOff>
    </xdr:from>
    <xdr:to>
      <xdr:col>16</xdr:col>
      <xdr:colOff>529151</xdr:colOff>
      <xdr:row>38</xdr:row>
      <xdr:rowOff>97651</xdr:rowOff>
    </xdr:to>
    <xdr:sp macro="" textlink="">
      <xdr:nvSpPr>
        <xdr:cNvPr id="21" name="Retângulo: Cantos Arredondados 2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A752FECF-7193-4634-8A40-EA0289B3DBA3}"/>
            </a:ext>
          </a:extLst>
        </xdr:cNvPr>
        <xdr:cNvSpPr/>
      </xdr:nvSpPr>
      <xdr:spPr>
        <a:xfrm>
          <a:off x="9263015" y="7016163"/>
          <a:ext cx="948018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MTO</a:t>
          </a:r>
        </a:p>
      </xdr:txBody>
    </xdr:sp>
    <xdr:clientData/>
  </xdr:twoCellAnchor>
  <xdr:twoCellAnchor>
    <xdr:from>
      <xdr:col>15</xdr:col>
      <xdr:colOff>186250</xdr:colOff>
      <xdr:row>32</xdr:row>
      <xdr:rowOff>28613</xdr:rowOff>
    </xdr:from>
    <xdr:to>
      <xdr:col>16</xdr:col>
      <xdr:colOff>529151</xdr:colOff>
      <xdr:row>34</xdr:row>
      <xdr:rowOff>181013</xdr:rowOff>
    </xdr:to>
    <xdr:sp macro="" textlink="">
      <xdr:nvSpPr>
        <xdr:cNvPr id="22" name="Retângulo: Cantos Arredondados 2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DD0416AD-1329-4FB2-9EEF-4E5A82A2F29D}"/>
            </a:ext>
          </a:extLst>
        </xdr:cNvPr>
        <xdr:cNvSpPr/>
      </xdr:nvSpPr>
      <xdr:spPr>
        <a:xfrm>
          <a:off x="9263015" y="6337525"/>
          <a:ext cx="948018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JCR</a:t>
          </a:r>
        </a:p>
      </xdr:txBody>
    </xdr:sp>
    <xdr:clientData/>
  </xdr:twoCellAnchor>
  <xdr:twoCellAnchor>
    <xdr:from>
      <xdr:col>15</xdr:col>
      <xdr:colOff>186251</xdr:colOff>
      <xdr:row>28</xdr:row>
      <xdr:rowOff>111977</xdr:rowOff>
    </xdr:from>
    <xdr:to>
      <xdr:col>16</xdr:col>
      <xdr:colOff>529151</xdr:colOff>
      <xdr:row>31</xdr:row>
      <xdr:rowOff>73877</xdr:rowOff>
    </xdr:to>
    <xdr:sp macro="" textlink="">
      <xdr:nvSpPr>
        <xdr:cNvPr id="23" name="Retângulo: Cantos Arredondados 2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72D85216-37A2-4249-944A-1AEBFE49352D}"/>
            </a:ext>
          </a:extLst>
        </xdr:cNvPr>
        <xdr:cNvSpPr/>
      </xdr:nvSpPr>
      <xdr:spPr>
        <a:xfrm>
          <a:off x="9263016" y="5658889"/>
          <a:ext cx="948017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ITQ</a:t>
          </a:r>
        </a:p>
      </xdr:txBody>
    </xdr:sp>
    <xdr:clientData/>
  </xdr:twoCellAnchor>
  <xdr:twoCellAnchor>
    <xdr:from>
      <xdr:col>15</xdr:col>
      <xdr:colOff>186251</xdr:colOff>
      <xdr:row>25</xdr:row>
      <xdr:rowOff>4841</xdr:rowOff>
    </xdr:from>
    <xdr:to>
      <xdr:col>16</xdr:col>
      <xdr:colOff>529151</xdr:colOff>
      <xdr:row>27</xdr:row>
      <xdr:rowOff>157241</xdr:rowOff>
    </xdr:to>
    <xdr:sp macro="" textlink="">
      <xdr:nvSpPr>
        <xdr:cNvPr id="24" name="Retângulo: Cantos Arredondados 2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3F201E59-24E7-4946-AEFB-146CC5CAFBE1}"/>
            </a:ext>
          </a:extLst>
        </xdr:cNvPr>
        <xdr:cNvSpPr/>
      </xdr:nvSpPr>
      <xdr:spPr>
        <a:xfrm>
          <a:off x="9263016" y="4980253"/>
          <a:ext cx="948017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ITP</a:t>
          </a:r>
        </a:p>
      </xdr:txBody>
    </xdr:sp>
    <xdr:clientData/>
  </xdr:twoCellAnchor>
  <xdr:twoCellAnchor>
    <xdr:from>
      <xdr:col>15</xdr:col>
      <xdr:colOff>186251</xdr:colOff>
      <xdr:row>21</xdr:row>
      <xdr:rowOff>88205</xdr:rowOff>
    </xdr:from>
    <xdr:to>
      <xdr:col>16</xdr:col>
      <xdr:colOff>529151</xdr:colOff>
      <xdr:row>24</xdr:row>
      <xdr:rowOff>50105</xdr:rowOff>
    </xdr:to>
    <xdr:sp macro="" textlink="">
      <xdr:nvSpPr>
        <xdr:cNvPr id="25" name="Retângulo: Cantos Arredondados 2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1D09ABCE-39F7-4DE8-9A66-58B0A1D27B30}"/>
            </a:ext>
          </a:extLst>
        </xdr:cNvPr>
        <xdr:cNvSpPr/>
      </xdr:nvSpPr>
      <xdr:spPr>
        <a:xfrm>
          <a:off x="9263016" y="4301617"/>
          <a:ext cx="948017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HTO</a:t>
          </a:r>
        </a:p>
      </xdr:txBody>
    </xdr:sp>
    <xdr:clientData/>
  </xdr:twoCellAnchor>
  <xdr:twoCellAnchor>
    <xdr:from>
      <xdr:col>15</xdr:col>
      <xdr:colOff>186251</xdr:colOff>
      <xdr:row>17</xdr:row>
      <xdr:rowOff>171569</xdr:rowOff>
    </xdr:from>
    <xdr:to>
      <xdr:col>16</xdr:col>
      <xdr:colOff>529151</xdr:colOff>
      <xdr:row>20</xdr:row>
      <xdr:rowOff>133469</xdr:rowOff>
    </xdr:to>
    <xdr:sp macro="" textlink="">
      <xdr:nvSpPr>
        <xdr:cNvPr id="26" name="Retângulo: Cantos Arredondados 2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EE2A15A1-FA3A-44E3-83D6-83CBE6426F33}"/>
            </a:ext>
          </a:extLst>
        </xdr:cNvPr>
        <xdr:cNvSpPr/>
      </xdr:nvSpPr>
      <xdr:spPr>
        <a:xfrm>
          <a:off x="9263016" y="3622981"/>
          <a:ext cx="948017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GRU</a:t>
          </a:r>
        </a:p>
      </xdr:txBody>
    </xdr:sp>
    <xdr:clientData/>
  </xdr:twoCellAnchor>
  <xdr:twoCellAnchor>
    <xdr:from>
      <xdr:col>15</xdr:col>
      <xdr:colOff>186251</xdr:colOff>
      <xdr:row>14</xdr:row>
      <xdr:rowOff>64433</xdr:rowOff>
    </xdr:from>
    <xdr:to>
      <xdr:col>16</xdr:col>
      <xdr:colOff>529151</xdr:colOff>
      <xdr:row>17</xdr:row>
      <xdr:rowOff>26333</xdr:rowOff>
    </xdr:to>
    <xdr:sp macro="" textlink="">
      <xdr:nvSpPr>
        <xdr:cNvPr id="27" name="Retângulo: Cantos Arredondados 26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7F9372E5-3491-4F67-9C2A-6224EC2A1EF5}"/>
            </a:ext>
          </a:extLst>
        </xdr:cNvPr>
        <xdr:cNvSpPr/>
      </xdr:nvSpPr>
      <xdr:spPr>
        <a:xfrm>
          <a:off x="9263016" y="2944345"/>
          <a:ext cx="948017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CBT</a:t>
          </a:r>
        </a:p>
      </xdr:txBody>
    </xdr:sp>
    <xdr:clientData/>
  </xdr:twoCellAnchor>
  <xdr:twoCellAnchor>
    <xdr:from>
      <xdr:col>15</xdr:col>
      <xdr:colOff>186251</xdr:colOff>
      <xdr:row>10</xdr:row>
      <xdr:rowOff>147797</xdr:rowOff>
    </xdr:from>
    <xdr:to>
      <xdr:col>16</xdr:col>
      <xdr:colOff>529151</xdr:colOff>
      <xdr:row>13</xdr:row>
      <xdr:rowOff>109697</xdr:rowOff>
    </xdr:to>
    <xdr:sp macro="" textlink="">
      <xdr:nvSpPr>
        <xdr:cNvPr id="28" name="Retângulo: Cantos Arredondados 2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BED58371-6CEC-4C28-8511-7D13A762D59E}"/>
            </a:ext>
          </a:extLst>
        </xdr:cNvPr>
        <xdr:cNvSpPr/>
      </xdr:nvSpPr>
      <xdr:spPr>
        <a:xfrm>
          <a:off x="9263016" y="2265709"/>
          <a:ext cx="948017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CTD</a:t>
          </a:r>
        </a:p>
      </xdr:txBody>
    </xdr:sp>
    <xdr:clientData/>
  </xdr:twoCellAnchor>
  <xdr:twoCellAnchor>
    <xdr:from>
      <xdr:col>15</xdr:col>
      <xdr:colOff>186251</xdr:colOff>
      <xdr:row>7</xdr:row>
      <xdr:rowOff>40661</xdr:rowOff>
    </xdr:from>
    <xdr:to>
      <xdr:col>16</xdr:col>
      <xdr:colOff>529151</xdr:colOff>
      <xdr:row>10</xdr:row>
      <xdr:rowOff>2561</xdr:rowOff>
    </xdr:to>
    <xdr:sp macro="" textlink="">
      <xdr:nvSpPr>
        <xdr:cNvPr id="29" name="Retângulo: Cantos Arredondados 28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CA58E505-EA61-41B4-AF68-652E94863B00}"/>
            </a:ext>
          </a:extLst>
        </xdr:cNvPr>
        <xdr:cNvSpPr/>
      </xdr:nvSpPr>
      <xdr:spPr>
        <a:xfrm>
          <a:off x="9263016" y="1587073"/>
          <a:ext cx="948017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CAR</a:t>
          </a:r>
        </a:p>
      </xdr:txBody>
    </xdr:sp>
    <xdr:clientData/>
  </xdr:twoCellAnchor>
  <xdr:twoCellAnchor>
    <xdr:from>
      <xdr:col>13</xdr:col>
      <xdr:colOff>158564</xdr:colOff>
      <xdr:row>35</xdr:row>
      <xdr:rowOff>135751</xdr:rowOff>
    </xdr:from>
    <xdr:to>
      <xdr:col>14</xdr:col>
      <xdr:colOff>501463</xdr:colOff>
      <xdr:row>38</xdr:row>
      <xdr:rowOff>97651</xdr:rowOff>
    </xdr:to>
    <xdr:sp macro="" textlink="">
      <xdr:nvSpPr>
        <xdr:cNvPr id="30" name="Retângulo: Cantos Arredondados 29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76AA66D4-2B64-41C2-95AA-CB310642D191}"/>
            </a:ext>
          </a:extLst>
        </xdr:cNvPr>
        <xdr:cNvSpPr/>
      </xdr:nvSpPr>
      <xdr:spPr>
        <a:xfrm>
          <a:off x="8025093" y="7016163"/>
          <a:ext cx="948017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CPV</a:t>
          </a:r>
        </a:p>
      </xdr:txBody>
    </xdr:sp>
    <xdr:clientData/>
  </xdr:twoCellAnchor>
  <xdr:twoCellAnchor>
    <xdr:from>
      <xdr:col>13</xdr:col>
      <xdr:colOff>158563</xdr:colOff>
      <xdr:row>32</xdr:row>
      <xdr:rowOff>28613</xdr:rowOff>
    </xdr:from>
    <xdr:to>
      <xdr:col>14</xdr:col>
      <xdr:colOff>501463</xdr:colOff>
      <xdr:row>34</xdr:row>
      <xdr:rowOff>181013</xdr:rowOff>
    </xdr:to>
    <xdr:sp macro="" textlink="">
      <xdr:nvSpPr>
        <xdr:cNvPr id="31" name="Retângulo: Cantos Arredondados 30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9DEC6138-30F5-4FEC-8D9F-C87B917CF8EC}"/>
            </a:ext>
          </a:extLst>
        </xdr:cNvPr>
        <xdr:cNvSpPr/>
      </xdr:nvSpPr>
      <xdr:spPr>
        <a:xfrm>
          <a:off x="8025092" y="6337525"/>
          <a:ext cx="948018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CJO</a:t>
          </a:r>
        </a:p>
      </xdr:txBody>
    </xdr:sp>
    <xdr:clientData/>
  </xdr:twoCellAnchor>
  <xdr:twoCellAnchor>
    <xdr:from>
      <xdr:col>13</xdr:col>
      <xdr:colOff>158563</xdr:colOff>
      <xdr:row>28</xdr:row>
      <xdr:rowOff>111977</xdr:rowOff>
    </xdr:from>
    <xdr:to>
      <xdr:col>14</xdr:col>
      <xdr:colOff>501463</xdr:colOff>
      <xdr:row>31</xdr:row>
      <xdr:rowOff>73877</xdr:rowOff>
    </xdr:to>
    <xdr:sp macro="" textlink="">
      <xdr:nvSpPr>
        <xdr:cNvPr id="32" name="Retângulo: Cantos Arredondados 31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3F1E48C2-73EE-484B-9A97-B516CC794F6C}"/>
            </a:ext>
          </a:extLst>
        </xdr:cNvPr>
        <xdr:cNvSpPr/>
      </xdr:nvSpPr>
      <xdr:spPr>
        <a:xfrm>
          <a:off x="8025092" y="5658889"/>
          <a:ext cx="948018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CMP</a:t>
          </a:r>
        </a:p>
      </xdr:txBody>
    </xdr:sp>
    <xdr:clientData/>
  </xdr:twoCellAnchor>
  <xdr:twoCellAnchor>
    <xdr:from>
      <xdr:col>13</xdr:col>
      <xdr:colOff>158563</xdr:colOff>
      <xdr:row>25</xdr:row>
      <xdr:rowOff>4841</xdr:rowOff>
    </xdr:from>
    <xdr:to>
      <xdr:col>14</xdr:col>
      <xdr:colOff>501463</xdr:colOff>
      <xdr:row>27</xdr:row>
      <xdr:rowOff>157241</xdr:rowOff>
    </xdr:to>
    <xdr:sp macro="" textlink="">
      <xdr:nvSpPr>
        <xdr:cNvPr id="33" name="Retângulo: Cantos Arredondados 32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831A71E7-2B36-4F6B-8E97-80CD9573FAAD}"/>
            </a:ext>
          </a:extLst>
        </xdr:cNvPr>
        <xdr:cNvSpPr/>
      </xdr:nvSpPr>
      <xdr:spPr>
        <a:xfrm>
          <a:off x="8025092" y="4980253"/>
          <a:ext cx="948018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BRA</a:t>
          </a:r>
        </a:p>
      </xdr:txBody>
    </xdr:sp>
    <xdr:clientData/>
  </xdr:twoCellAnchor>
  <xdr:twoCellAnchor>
    <xdr:from>
      <xdr:col>13</xdr:col>
      <xdr:colOff>158563</xdr:colOff>
      <xdr:row>21</xdr:row>
      <xdr:rowOff>88205</xdr:rowOff>
    </xdr:from>
    <xdr:to>
      <xdr:col>14</xdr:col>
      <xdr:colOff>501463</xdr:colOff>
      <xdr:row>24</xdr:row>
      <xdr:rowOff>50105</xdr:rowOff>
    </xdr:to>
    <xdr:sp macro="" textlink="">
      <xdr:nvSpPr>
        <xdr:cNvPr id="34" name="Retângulo: Cantos Arredondados 33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422F55FA-648F-44F3-89D6-13EC5FFFBFF1}"/>
            </a:ext>
          </a:extLst>
        </xdr:cNvPr>
        <xdr:cNvSpPr/>
      </xdr:nvSpPr>
      <xdr:spPr>
        <a:xfrm>
          <a:off x="8025092" y="4301617"/>
          <a:ext cx="948018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BTV</a:t>
          </a:r>
        </a:p>
      </xdr:txBody>
    </xdr:sp>
    <xdr:clientData/>
  </xdr:twoCellAnchor>
  <xdr:twoCellAnchor>
    <xdr:from>
      <xdr:col>13</xdr:col>
      <xdr:colOff>158563</xdr:colOff>
      <xdr:row>17</xdr:row>
      <xdr:rowOff>171569</xdr:rowOff>
    </xdr:from>
    <xdr:to>
      <xdr:col>14</xdr:col>
      <xdr:colOff>501463</xdr:colOff>
      <xdr:row>20</xdr:row>
      <xdr:rowOff>133469</xdr:rowOff>
    </xdr:to>
    <xdr:sp macro="" textlink="">
      <xdr:nvSpPr>
        <xdr:cNvPr id="35" name="Retângulo: Cantos Arredondados 34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DF8EE5A4-4DBE-47CC-A395-2E0821404E06}"/>
            </a:ext>
          </a:extLst>
        </xdr:cNvPr>
        <xdr:cNvSpPr/>
      </xdr:nvSpPr>
      <xdr:spPr>
        <a:xfrm>
          <a:off x="8025092" y="3622981"/>
          <a:ext cx="948018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BRI</a:t>
          </a:r>
        </a:p>
      </xdr:txBody>
    </xdr:sp>
    <xdr:clientData/>
  </xdr:twoCellAnchor>
  <xdr:twoCellAnchor>
    <xdr:from>
      <xdr:col>13</xdr:col>
      <xdr:colOff>158563</xdr:colOff>
      <xdr:row>14</xdr:row>
      <xdr:rowOff>64433</xdr:rowOff>
    </xdr:from>
    <xdr:to>
      <xdr:col>14</xdr:col>
      <xdr:colOff>501463</xdr:colOff>
      <xdr:row>17</xdr:row>
      <xdr:rowOff>26333</xdr:rowOff>
    </xdr:to>
    <xdr:sp macro="" textlink="">
      <xdr:nvSpPr>
        <xdr:cNvPr id="36" name="Retângulo: Cantos Arredondados 35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30C59286-16A6-40F1-B8B4-447572543DC5}"/>
            </a:ext>
          </a:extLst>
        </xdr:cNvPr>
        <xdr:cNvSpPr/>
      </xdr:nvSpPr>
      <xdr:spPr>
        <a:xfrm>
          <a:off x="8025092" y="2944345"/>
          <a:ext cx="948018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BRT</a:t>
          </a:r>
        </a:p>
      </xdr:txBody>
    </xdr:sp>
    <xdr:clientData/>
  </xdr:twoCellAnchor>
  <xdr:twoCellAnchor>
    <xdr:from>
      <xdr:col>13</xdr:col>
      <xdr:colOff>158563</xdr:colOff>
      <xdr:row>10</xdr:row>
      <xdr:rowOff>147797</xdr:rowOff>
    </xdr:from>
    <xdr:to>
      <xdr:col>14</xdr:col>
      <xdr:colOff>501463</xdr:colOff>
      <xdr:row>13</xdr:row>
      <xdr:rowOff>109697</xdr:rowOff>
    </xdr:to>
    <xdr:sp macro="" textlink="">
      <xdr:nvSpPr>
        <xdr:cNvPr id="37" name="Retângulo: Cantos Arredondados 36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B5134CFC-11A5-4C07-9241-909216F2E72E}"/>
            </a:ext>
          </a:extLst>
        </xdr:cNvPr>
        <xdr:cNvSpPr/>
      </xdr:nvSpPr>
      <xdr:spPr>
        <a:xfrm>
          <a:off x="8025092" y="2265709"/>
          <a:ext cx="948018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AVR</a:t>
          </a:r>
        </a:p>
      </xdr:txBody>
    </xdr:sp>
    <xdr:clientData/>
  </xdr:twoCellAnchor>
  <xdr:twoCellAnchor>
    <xdr:from>
      <xdr:col>13</xdr:col>
      <xdr:colOff>158563</xdr:colOff>
      <xdr:row>7</xdr:row>
      <xdr:rowOff>40661</xdr:rowOff>
    </xdr:from>
    <xdr:to>
      <xdr:col>14</xdr:col>
      <xdr:colOff>501463</xdr:colOff>
      <xdr:row>10</xdr:row>
      <xdr:rowOff>2561</xdr:rowOff>
    </xdr:to>
    <xdr:sp macro="" textlink="">
      <xdr:nvSpPr>
        <xdr:cNvPr id="38" name="Retângulo: Cantos Arredondados 37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2CB6ACEB-A520-4749-972F-A16D7383B136}"/>
            </a:ext>
          </a:extLst>
        </xdr:cNvPr>
        <xdr:cNvSpPr/>
      </xdr:nvSpPr>
      <xdr:spPr>
        <a:xfrm>
          <a:off x="8025092" y="1587073"/>
          <a:ext cx="948018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ARQ</a:t>
          </a:r>
        </a:p>
      </xdr:txBody>
    </xdr:sp>
    <xdr:clientData/>
  </xdr:twoCellAnchor>
  <xdr:twoCellAnchor>
    <xdr:from>
      <xdr:col>22</xdr:col>
      <xdr:colOff>476250</xdr:colOff>
      <xdr:row>31</xdr:row>
      <xdr:rowOff>171450</xdr:rowOff>
    </xdr:from>
    <xdr:to>
      <xdr:col>24</xdr:col>
      <xdr:colOff>209550</xdr:colOff>
      <xdr:row>34</xdr:row>
      <xdr:rowOff>133350</xdr:rowOff>
    </xdr:to>
    <xdr:sp macro="" textlink="">
      <xdr:nvSpPr>
        <xdr:cNvPr id="39" name="Retângulo: Cantos Arredondados 38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D73864DA-B05A-4FAF-9CD8-E90F9D3FC49C}"/>
            </a:ext>
          </a:extLst>
        </xdr:cNvPr>
        <xdr:cNvSpPr/>
      </xdr:nvSpPr>
      <xdr:spPr>
        <a:xfrm>
          <a:off x="13788838" y="6289862"/>
          <a:ext cx="943536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TUP</a:t>
          </a:r>
        </a:p>
      </xdr:txBody>
    </xdr:sp>
    <xdr:clientData/>
  </xdr:twoCellAnchor>
  <xdr:twoCellAnchor>
    <xdr:from>
      <xdr:col>6</xdr:col>
      <xdr:colOff>381000</xdr:colOff>
      <xdr:row>19</xdr:row>
      <xdr:rowOff>123825</xdr:rowOff>
    </xdr:from>
    <xdr:to>
      <xdr:col>10</xdr:col>
      <xdr:colOff>19050</xdr:colOff>
      <xdr:row>24</xdr:row>
      <xdr:rowOff>47625</xdr:rowOff>
    </xdr:to>
    <xdr:sp macro="" textlink="">
      <xdr:nvSpPr>
        <xdr:cNvPr id="40" name="Retângulo: Cantos Arredondados 39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48C1736A-E552-4DBC-BB5B-AC4948401975}"/>
            </a:ext>
          </a:extLst>
        </xdr:cNvPr>
        <xdr:cNvSpPr/>
      </xdr:nvSpPr>
      <xdr:spPr>
        <a:xfrm>
          <a:off x="4038600" y="3962400"/>
          <a:ext cx="2076450" cy="8763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Escolha do Reitor</a:t>
          </a:r>
        </a:p>
      </xdr:txBody>
    </xdr:sp>
    <xdr:clientData/>
  </xdr:twoCellAnchor>
  <xdr:twoCellAnchor>
    <xdr:from>
      <xdr:col>2</xdr:col>
      <xdr:colOff>361949</xdr:colOff>
      <xdr:row>20</xdr:row>
      <xdr:rowOff>9525</xdr:rowOff>
    </xdr:from>
    <xdr:to>
      <xdr:col>4</xdr:col>
      <xdr:colOff>352424</xdr:colOff>
      <xdr:row>23</xdr:row>
      <xdr:rowOff>161925</xdr:rowOff>
    </xdr:to>
    <xdr:sp macro="" textlink="">
      <xdr:nvSpPr>
        <xdr:cNvPr id="41" name="Retângulo: Cantos Arredondados 40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1ABF1A8C-6EFE-401C-AC8A-338F1F3A0E98}"/>
            </a:ext>
          </a:extLst>
        </xdr:cNvPr>
        <xdr:cNvSpPr/>
      </xdr:nvSpPr>
      <xdr:spPr>
        <a:xfrm>
          <a:off x="1581149" y="3657600"/>
          <a:ext cx="1209675" cy="7239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Cálculo do TVC</a:t>
          </a:r>
        </a:p>
      </xdr:txBody>
    </xdr:sp>
    <xdr:clientData/>
  </xdr:twoCellAnchor>
  <xdr:twoCellAnchor>
    <xdr:from>
      <xdr:col>17</xdr:col>
      <xdr:colOff>213145</xdr:colOff>
      <xdr:row>25</xdr:row>
      <xdr:rowOff>4841</xdr:rowOff>
    </xdr:from>
    <xdr:to>
      <xdr:col>18</xdr:col>
      <xdr:colOff>556045</xdr:colOff>
      <xdr:row>27</xdr:row>
      <xdr:rowOff>157241</xdr:rowOff>
    </xdr:to>
    <xdr:sp macro="" textlink="">
      <xdr:nvSpPr>
        <xdr:cNvPr id="3" name="Retângulo: Cantos Arredondados 2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6148D84A-5417-4384-AA6B-69CE9681B3C8}"/>
            </a:ext>
          </a:extLst>
        </xdr:cNvPr>
        <xdr:cNvSpPr/>
      </xdr:nvSpPr>
      <xdr:spPr>
        <a:xfrm>
          <a:off x="10500145" y="4980253"/>
          <a:ext cx="948018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SJP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361950</xdr:colOff>
      <xdr:row>3</xdr:row>
      <xdr:rowOff>161925</xdr:rowOff>
    </xdr:from>
    <xdr:to>
      <xdr:col>17</xdr:col>
      <xdr:colOff>533399</xdr:colOff>
      <xdr:row>7</xdr:row>
      <xdr:rowOff>133350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027970-10EF-4277-BCF7-023378C6F8D6}"/>
            </a:ext>
          </a:extLst>
        </xdr:cNvPr>
        <xdr:cNvSpPr/>
      </xdr:nvSpPr>
      <xdr:spPr>
        <a:xfrm>
          <a:off x="8896350" y="1000125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99209</xdr:colOff>
      <xdr:row>1</xdr:row>
      <xdr:rowOff>11504</xdr:rowOff>
    </xdr:from>
    <xdr:to>
      <xdr:col>11</xdr:col>
      <xdr:colOff>96487</xdr:colOff>
      <xdr:row>3</xdr:row>
      <xdr:rowOff>125804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E44EBB-5BAF-4C54-AA93-BBB345CE1D2A}"/>
            </a:ext>
          </a:extLst>
        </xdr:cNvPr>
        <xdr:cNvSpPr/>
      </xdr:nvSpPr>
      <xdr:spPr>
        <a:xfrm>
          <a:off x="14699673" y="256433"/>
          <a:ext cx="1602921" cy="94433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192339</xdr:colOff>
      <xdr:row>113</xdr:row>
      <xdr:rowOff>21202</xdr:rowOff>
    </xdr:from>
    <xdr:to>
      <xdr:col>10</xdr:col>
      <xdr:colOff>551691</xdr:colOff>
      <xdr:row>113</xdr:row>
      <xdr:rowOff>561097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7AC7A0-70A8-4321-8DB2-361248FDA95F}"/>
            </a:ext>
          </a:extLst>
        </xdr:cNvPr>
        <xdr:cNvSpPr/>
      </xdr:nvSpPr>
      <xdr:spPr>
        <a:xfrm>
          <a:off x="18950986" y="66203143"/>
          <a:ext cx="964470" cy="53989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SMP</a:t>
          </a:r>
        </a:p>
      </xdr:txBody>
    </xdr:sp>
    <xdr:clientData/>
  </xdr:twoCellAnchor>
  <xdr:twoCellAnchor>
    <xdr:from>
      <xdr:col>9</xdr:col>
      <xdr:colOff>192339</xdr:colOff>
      <xdr:row>110</xdr:row>
      <xdr:rowOff>22939</xdr:rowOff>
    </xdr:from>
    <xdr:to>
      <xdr:col>10</xdr:col>
      <xdr:colOff>551691</xdr:colOff>
      <xdr:row>110</xdr:row>
      <xdr:rowOff>556339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B94473F-59D2-448C-AD2A-AAB94F62364F}"/>
            </a:ext>
          </a:extLst>
        </xdr:cNvPr>
        <xdr:cNvSpPr/>
      </xdr:nvSpPr>
      <xdr:spPr>
        <a:xfrm>
          <a:off x="18950986" y="64423145"/>
          <a:ext cx="96447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JND</a:t>
          </a:r>
        </a:p>
      </xdr:txBody>
    </xdr:sp>
    <xdr:clientData/>
  </xdr:twoCellAnchor>
  <xdr:twoCellAnchor>
    <xdr:from>
      <xdr:col>9</xdr:col>
      <xdr:colOff>192339</xdr:colOff>
      <xdr:row>107</xdr:row>
      <xdr:rowOff>24677</xdr:rowOff>
    </xdr:from>
    <xdr:to>
      <xdr:col>10</xdr:col>
      <xdr:colOff>551691</xdr:colOff>
      <xdr:row>107</xdr:row>
      <xdr:rowOff>558077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D1C67D5-203A-4001-9F21-D0214760C932}"/>
            </a:ext>
          </a:extLst>
        </xdr:cNvPr>
        <xdr:cNvSpPr/>
      </xdr:nvSpPr>
      <xdr:spPr>
        <a:xfrm>
          <a:off x="18950986" y="62643148"/>
          <a:ext cx="96447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IST</a:t>
          </a:r>
        </a:p>
      </xdr:txBody>
    </xdr:sp>
    <xdr:clientData/>
  </xdr:twoCellAnchor>
  <xdr:twoCellAnchor>
    <xdr:from>
      <xdr:col>9</xdr:col>
      <xdr:colOff>192338</xdr:colOff>
      <xdr:row>104</xdr:row>
      <xdr:rowOff>26414</xdr:rowOff>
    </xdr:from>
    <xdr:to>
      <xdr:col>10</xdr:col>
      <xdr:colOff>551691</xdr:colOff>
      <xdr:row>104</xdr:row>
      <xdr:rowOff>559814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99B1F3C-F486-4F32-8B35-9952E46B9BBF}"/>
            </a:ext>
          </a:extLst>
        </xdr:cNvPr>
        <xdr:cNvSpPr/>
      </xdr:nvSpPr>
      <xdr:spPr>
        <a:xfrm>
          <a:off x="18950985" y="60863149"/>
          <a:ext cx="964471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VTP</a:t>
          </a:r>
        </a:p>
      </xdr:txBody>
    </xdr:sp>
    <xdr:clientData/>
  </xdr:twoCellAnchor>
  <xdr:twoCellAnchor>
    <xdr:from>
      <xdr:col>9</xdr:col>
      <xdr:colOff>192338</xdr:colOff>
      <xdr:row>101</xdr:row>
      <xdr:rowOff>28152</xdr:rowOff>
    </xdr:from>
    <xdr:to>
      <xdr:col>10</xdr:col>
      <xdr:colOff>551691</xdr:colOff>
      <xdr:row>101</xdr:row>
      <xdr:rowOff>561552</xdr:rowOff>
    </xdr:to>
    <xdr:sp macro="" textlink="">
      <xdr:nvSpPr>
        <xdr:cNvPr id="7" name="Retângulo: Canto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74A9FA0-7331-45E7-BDF5-7AD92389F9D8}"/>
            </a:ext>
          </a:extLst>
        </xdr:cNvPr>
        <xdr:cNvSpPr/>
      </xdr:nvSpPr>
      <xdr:spPr>
        <a:xfrm>
          <a:off x="18950985" y="59083152"/>
          <a:ext cx="964471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SZN</a:t>
          </a:r>
        </a:p>
      </xdr:txBody>
    </xdr:sp>
    <xdr:clientData/>
  </xdr:twoCellAnchor>
  <xdr:twoCellAnchor>
    <xdr:from>
      <xdr:col>9</xdr:col>
      <xdr:colOff>192338</xdr:colOff>
      <xdr:row>98</xdr:row>
      <xdr:rowOff>29889</xdr:rowOff>
    </xdr:from>
    <xdr:to>
      <xdr:col>10</xdr:col>
      <xdr:colOff>551691</xdr:colOff>
      <xdr:row>98</xdr:row>
      <xdr:rowOff>563289</xdr:rowOff>
    </xdr:to>
    <xdr:sp macro="" textlink="">
      <xdr:nvSpPr>
        <xdr:cNvPr id="8" name="Retângulo: Canto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05DC5CD-5EEA-45D7-B575-A0AD53B6F1AD}"/>
            </a:ext>
          </a:extLst>
        </xdr:cNvPr>
        <xdr:cNvSpPr/>
      </xdr:nvSpPr>
      <xdr:spPr>
        <a:xfrm>
          <a:off x="18950985" y="57303154"/>
          <a:ext cx="964471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SOR</a:t>
          </a:r>
        </a:p>
      </xdr:txBody>
    </xdr:sp>
    <xdr:clientData/>
  </xdr:twoCellAnchor>
  <xdr:twoCellAnchor>
    <xdr:from>
      <xdr:col>9</xdr:col>
      <xdr:colOff>192338</xdr:colOff>
      <xdr:row>95</xdr:row>
      <xdr:rowOff>25133</xdr:rowOff>
    </xdr:from>
    <xdr:to>
      <xdr:col>10</xdr:col>
      <xdr:colOff>551691</xdr:colOff>
      <xdr:row>95</xdr:row>
      <xdr:rowOff>565027</xdr:rowOff>
    </xdr:to>
    <xdr:sp macro="" textlink="">
      <xdr:nvSpPr>
        <xdr:cNvPr id="9" name="Retângulo: Cantos Arredondados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8F161E7-A01F-4EBD-BD88-6C8BBB56322C}"/>
            </a:ext>
          </a:extLst>
        </xdr:cNvPr>
        <xdr:cNvSpPr/>
      </xdr:nvSpPr>
      <xdr:spPr>
        <a:xfrm>
          <a:off x="18950985" y="55516662"/>
          <a:ext cx="964471" cy="539894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SRT</a:t>
          </a:r>
        </a:p>
      </xdr:txBody>
    </xdr:sp>
    <xdr:clientData/>
  </xdr:twoCellAnchor>
  <xdr:twoCellAnchor>
    <xdr:from>
      <xdr:col>9</xdr:col>
      <xdr:colOff>192338</xdr:colOff>
      <xdr:row>92</xdr:row>
      <xdr:rowOff>20375</xdr:rowOff>
    </xdr:from>
    <xdr:to>
      <xdr:col>10</xdr:col>
      <xdr:colOff>551691</xdr:colOff>
      <xdr:row>92</xdr:row>
      <xdr:rowOff>560270</xdr:rowOff>
    </xdr:to>
    <xdr:sp macro="" textlink="">
      <xdr:nvSpPr>
        <xdr:cNvPr id="10" name="Retângulo: Cantos Arredondados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6A3CBF9-2164-4DAB-B558-61A9168A2C30}"/>
            </a:ext>
          </a:extLst>
        </xdr:cNvPr>
        <xdr:cNvSpPr/>
      </xdr:nvSpPr>
      <xdr:spPr>
        <a:xfrm>
          <a:off x="18950985" y="53730169"/>
          <a:ext cx="964471" cy="53989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SRQ</a:t>
          </a:r>
        </a:p>
      </xdr:txBody>
    </xdr:sp>
    <xdr:clientData/>
  </xdr:twoCellAnchor>
  <xdr:twoCellAnchor>
    <xdr:from>
      <xdr:col>9</xdr:col>
      <xdr:colOff>192338</xdr:colOff>
      <xdr:row>77</xdr:row>
      <xdr:rowOff>19784</xdr:rowOff>
    </xdr:from>
    <xdr:to>
      <xdr:col>10</xdr:col>
      <xdr:colOff>551691</xdr:colOff>
      <xdr:row>77</xdr:row>
      <xdr:rowOff>553184</xdr:rowOff>
    </xdr:to>
    <xdr:sp macro="" textlink="">
      <xdr:nvSpPr>
        <xdr:cNvPr id="11" name="Retângulo: Cantos Arredondados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CF773E5-E205-4876-B94D-00554F1DC9B0}"/>
            </a:ext>
          </a:extLst>
        </xdr:cNvPr>
        <xdr:cNvSpPr/>
      </xdr:nvSpPr>
      <xdr:spPr>
        <a:xfrm>
          <a:off x="18950985" y="44820902"/>
          <a:ext cx="964471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SCL</a:t>
          </a:r>
        </a:p>
      </xdr:txBody>
    </xdr:sp>
    <xdr:clientData/>
  </xdr:twoCellAnchor>
  <xdr:twoCellAnchor>
    <xdr:from>
      <xdr:col>9</xdr:col>
      <xdr:colOff>192338</xdr:colOff>
      <xdr:row>89</xdr:row>
      <xdr:rowOff>15618</xdr:rowOff>
    </xdr:from>
    <xdr:to>
      <xdr:col>10</xdr:col>
      <xdr:colOff>551691</xdr:colOff>
      <xdr:row>89</xdr:row>
      <xdr:rowOff>555513</xdr:rowOff>
    </xdr:to>
    <xdr:sp macro="" textlink="">
      <xdr:nvSpPr>
        <xdr:cNvPr id="12" name="Retângulo: Cantos Arredondados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183CA81-4559-4417-A14D-2ACFCCB3CCE9}"/>
            </a:ext>
          </a:extLst>
        </xdr:cNvPr>
        <xdr:cNvSpPr/>
      </xdr:nvSpPr>
      <xdr:spPr>
        <a:xfrm>
          <a:off x="18950985" y="51943677"/>
          <a:ext cx="964471" cy="53989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SPO</a:t>
          </a:r>
        </a:p>
      </xdr:txBody>
    </xdr:sp>
    <xdr:clientData/>
  </xdr:twoCellAnchor>
  <xdr:twoCellAnchor>
    <xdr:from>
      <xdr:col>9</xdr:col>
      <xdr:colOff>192338</xdr:colOff>
      <xdr:row>83</xdr:row>
      <xdr:rowOff>16309</xdr:rowOff>
    </xdr:from>
    <xdr:to>
      <xdr:col>10</xdr:col>
      <xdr:colOff>551691</xdr:colOff>
      <xdr:row>83</xdr:row>
      <xdr:rowOff>556204</xdr:rowOff>
    </xdr:to>
    <xdr:sp macro="" textlink="">
      <xdr:nvSpPr>
        <xdr:cNvPr id="13" name="Retângulo: Cantos Arredondados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21BFE87-14EA-44E0-9BE4-D4841A359071}"/>
            </a:ext>
          </a:extLst>
        </xdr:cNvPr>
        <xdr:cNvSpPr/>
      </xdr:nvSpPr>
      <xdr:spPr>
        <a:xfrm>
          <a:off x="18950985" y="48380897"/>
          <a:ext cx="964471" cy="53989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SJC</a:t>
          </a:r>
        </a:p>
      </xdr:txBody>
    </xdr:sp>
    <xdr:clientData/>
  </xdr:twoCellAnchor>
  <xdr:twoCellAnchor>
    <xdr:from>
      <xdr:col>9</xdr:col>
      <xdr:colOff>192338</xdr:colOff>
      <xdr:row>80</xdr:row>
      <xdr:rowOff>18046</xdr:rowOff>
    </xdr:from>
    <xdr:to>
      <xdr:col>10</xdr:col>
      <xdr:colOff>551691</xdr:colOff>
      <xdr:row>80</xdr:row>
      <xdr:rowOff>551446</xdr:rowOff>
    </xdr:to>
    <xdr:sp macro="" textlink="">
      <xdr:nvSpPr>
        <xdr:cNvPr id="14" name="Retângulo: Cantos Arredondados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60E74D5-28D1-4A64-8B21-D76E0375D337}"/>
            </a:ext>
          </a:extLst>
        </xdr:cNvPr>
        <xdr:cNvSpPr/>
      </xdr:nvSpPr>
      <xdr:spPr>
        <a:xfrm>
          <a:off x="18950985" y="46600899"/>
          <a:ext cx="964471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SBV</a:t>
          </a:r>
        </a:p>
      </xdr:txBody>
    </xdr:sp>
    <xdr:clientData/>
  </xdr:twoCellAnchor>
  <xdr:twoCellAnchor>
    <xdr:from>
      <xdr:col>9</xdr:col>
      <xdr:colOff>192338</xdr:colOff>
      <xdr:row>74</xdr:row>
      <xdr:rowOff>15027</xdr:rowOff>
    </xdr:from>
    <xdr:to>
      <xdr:col>10</xdr:col>
      <xdr:colOff>551691</xdr:colOff>
      <xdr:row>74</xdr:row>
      <xdr:rowOff>554921</xdr:rowOff>
    </xdr:to>
    <xdr:sp macro="" textlink="">
      <xdr:nvSpPr>
        <xdr:cNvPr id="15" name="Retângulo: Cantos Arredondados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D446C148-2E8C-44BF-ABA0-4F004E1888E6}"/>
            </a:ext>
          </a:extLst>
        </xdr:cNvPr>
        <xdr:cNvSpPr/>
      </xdr:nvSpPr>
      <xdr:spPr>
        <a:xfrm>
          <a:off x="18950985" y="43034409"/>
          <a:ext cx="964471" cy="539894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SLT</a:t>
          </a:r>
        </a:p>
      </xdr:txBody>
    </xdr:sp>
    <xdr:clientData/>
  </xdr:twoCellAnchor>
  <xdr:twoCellAnchor>
    <xdr:from>
      <xdr:col>9</xdr:col>
      <xdr:colOff>192338</xdr:colOff>
      <xdr:row>71</xdr:row>
      <xdr:rowOff>16765</xdr:rowOff>
    </xdr:from>
    <xdr:to>
      <xdr:col>10</xdr:col>
      <xdr:colOff>551691</xdr:colOff>
      <xdr:row>71</xdr:row>
      <xdr:rowOff>550165</xdr:rowOff>
    </xdr:to>
    <xdr:sp macro="" textlink="">
      <xdr:nvSpPr>
        <xdr:cNvPr id="16" name="Retângulo: Cantos Arredondados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61CD3D41-9B5A-4BD7-B787-5DDC11B9F5F9}"/>
            </a:ext>
          </a:extLst>
        </xdr:cNvPr>
        <xdr:cNvSpPr/>
      </xdr:nvSpPr>
      <xdr:spPr>
        <a:xfrm>
          <a:off x="18950985" y="41254412"/>
          <a:ext cx="964471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RGT</a:t>
          </a:r>
        </a:p>
      </xdr:txBody>
    </xdr:sp>
    <xdr:clientData/>
  </xdr:twoCellAnchor>
  <xdr:twoCellAnchor>
    <xdr:from>
      <xdr:col>9</xdr:col>
      <xdr:colOff>192338</xdr:colOff>
      <xdr:row>68</xdr:row>
      <xdr:rowOff>18502</xdr:rowOff>
    </xdr:from>
    <xdr:to>
      <xdr:col>10</xdr:col>
      <xdr:colOff>551691</xdr:colOff>
      <xdr:row>68</xdr:row>
      <xdr:rowOff>551902</xdr:rowOff>
    </xdr:to>
    <xdr:sp macro="" textlink="">
      <xdr:nvSpPr>
        <xdr:cNvPr id="17" name="Retângulo: Cantos Arredondados 1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9D5EC0A-7E2D-4530-96DC-EA4FBA08004F}"/>
            </a:ext>
          </a:extLst>
        </xdr:cNvPr>
        <xdr:cNvSpPr/>
      </xdr:nvSpPr>
      <xdr:spPr>
        <a:xfrm>
          <a:off x="18950985" y="39474414"/>
          <a:ext cx="964471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PEP</a:t>
          </a:r>
        </a:p>
      </xdr:txBody>
    </xdr:sp>
    <xdr:clientData/>
  </xdr:twoCellAnchor>
  <xdr:twoCellAnchor>
    <xdr:from>
      <xdr:col>9</xdr:col>
      <xdr:colOff>192338</xdr:colOff>
      <xdr:row>65</xdr:row>
      <xdr:rowOff>20240</xdr:rowOff>
    </xdr:from>
    <xdr:to>
      <xdr:col>10</xdr:col>
      <xdr:colOff>551691</xdr:colOff>
      <xdr:row>65</xdr:row>
      <xdr:rowOff>553640</xdr:rowOff>
    </xdr:to>
    <xdr:sp macro="" textlink="">
      <xdr:nvSpPr>
        <xdr:cNvPr id="18" name="Retângulo: Cantos Arredondados 1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2C7D0D6-A073-4412-A37B-3F7D6839B16C}"/>
            </a:ext>
          </a:extLst>
        </xdr:cNvPr>
        <xdr:cNvSpPr/>
      </xdr:nvSpPr>
      <xdr:spPr>
        <a:xfrm>
          <a:off x="18950985" y="37694416"/>
          <a:ext cx="964471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PTB</a:t>
          </a:r>
        </a:p>
      </xdr:txBody>
    </xdr:sp>
    <xdr:clientData/>
  </xdr:twoCellAnchor>
  <xdr:twoCellAnchor>
    <xdr:from>
      <xdr:col>9</xdr:col>
      <xdr:colOff>192338</xdr:colOff>
      <xdr:row>62</xdr:row>
      <xdr:rowOff>15483</xdr:rowOff>
    </xdr:from>
    <xdr:to>
      <xdr:col>10</xdr:col>
      <xdr:colOff>551691</xdr:colOff>
      <xdr:row>62</xdr:row>
      <xdr:rowOff>555377</xdr:rowOff>
    </xdr:to>
    <xdr:sp macro="" textlink="">
      <xdr:nvSpPr>
        <xdr:cNvPr id="19" name="Retângulo: Cantos Arredondados 1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64FA2F6B-1CE7-418E-A285-7E8A742CD35E}"/>
            </a:ext>
          </a:extLst>
        </xdr:cNvPr>
        <xdr:cNvSpPr/>
      </xdr:nvSpPr>
      <xdr:spPr>
        <a:xfrm>
          <a:off x="18950985" y="35907924"/>
          <a:ext cx="964471" cy="539894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PRC</a:t>
          </a:r>
        </a:p>
      </xdr:txBody>
    </xdr:sp>
    <xdr:clientData/>
  </xdr:twoCellAnchor>
  <xdr:twoCellAnchor>
    <xdr:from>
      <xdr:col>9</xdr:col>
      <xdr:colOff>192338</xdr:colOff>
      <xdr:row>59</xdr:row>
      <xdr:rowOff>10727</xdr:rowOff>
    </xdr:from>
    <xdr:to>
      <xdr:col>10</xdr:col>
      <xdr:colOff>551691</xdr:colOff>
      <xdr:row>59</xdr:row>
      <xdr:rowOff>550621</xdr:rowOff>
    </xdr:to>
    <xdr:sp macro="" textlink="">
      <xdr:nvSpPr>
        <xdr:cNvPr id="20" name="Retângulo: Cantos Arredondados 1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90A6214A-4378-4468-80BF-FA1A00D15B06}"/>
            </a:ext>
          </a:extLst>
        </xdr:cNvPr>
        <xdr:cNvSpPr/>
      </xdr:nvSpPr>
      <xdr:spPr>
        <a:xfrm>
          <a:off x="18950985" y="34121433"/>
          <a:ext cx="964471" cy="539894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MTO</a:t>
          </a:r>
        </a:p>
      </xdr:txBody>
    </xdr:sp>
    <xdr:clientData/>
  </xdr:twoCellAnchor>
  <xdr:twoCellAnchor>
    <xdr:from>
      <xdr:col>9</xdr:col>
      <xdr:colOff>192338</xdr:colOff>
      <xdr:row>56</xdr:row>
      <xdr:rowOff>5970</xdr:rowOff>
    </xdr:from>
    <xdr:to>
      <xdr:col>10</xdr:col>
      <xdr:colOff>551691</xdr:colOff>
      <xdr:row>56</xdr:row>
      <xdr:rowOff>545864</xdr:rowOff>
    </xdr:to>
    <xdr:sp macro="" textlink="">
      <xdr:nvSpPr>
        <xdr:cNvPr id="21" name="Retângulo: Cantos Arredondados 2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D8326E9-A012-4A9F-9BA8-31E4EBF4F63E}"/>
            </a:ext>
          </a:extLst>
        </xdr:cNvPr>
        <xdr:cNvSpPr/>
      </xdr:nvSpPr>
      <xdr:spPr>
        <a:xfrm>
          <a:off x="18950985" y="32334941"/>
          <a:ext cx="964471" cy="539894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JCR</a:t>
          </a:r>
        </a:p>
      </xdr:txBody>
    </xdr:sp>
    <xdr:clientData/>
  </xdr:twoCellAnchor>
  <xdr:twoCellAnchor>
    <xdr:from>
      <xdr:col>9</xdr:col>
      <xdr:colOff>192339</xdr:colOff>
      <xdr:row>53</xdr:row>
      <xdr:rowOff>1214</xdr:rowOff>
    </xdr:from>
    <xdr:to>
      <xdr:col>10</xdr:col>
      <xdr:colOff>551690</xdr:colOff>
      <xdr:row>53</xdr:row>
      <xdr:rowOff>541108</xdr:rowOff>
    </xdr:to>
    <xdr:sp macro="" textlink="">
      <xdr:nvSpPr>
        <xdr:cNvPr id="22" name="Retângulo: Cantos Arredondados 2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7812D29D-C31D-4208-89B7-F343BE5B3E8B}"/>
            </a:ext>
          </a:extLst>
        </xdr:cNvPr>
        <xdr:cNvSpPr/>
      </xdr:nvSpPr>
      <xdr:spPr>
        <a:xfrm>
          <a:off x="18950986" y="30548449"/>
          <a:ext cx="964469" cy="539894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ITQ</a:t>
          </a:r>
        </a:p>
      </xdr:txBody>
    </xdr:sp>
    <xdr:clientData/>
  </xdr:twoCellAnchor>
  <xdr:twoCellAnchor>
    <xdr:from>
      <xdr:col>9</xdr:col>
      <xdr:colOff>192339</xdr:colOff>
      <xdr:row>49</xdr:row>
      <xdr:rowOff>591770</xdr:rowOff>
    </xdr:from>
    <xdr:to>
      <xdr:col>10</xdr:col>
      <xdr:colOff>551690</xdr:colOff>
      <xdr:row>50</xdr:row>
      <xdr:rowOff>536351</xdr:rowOff>
    </xdr:to>
    <xdr:sp macro="" textlink="">
      <xdr:nvSpPr>
        <xdr:cNvPr id="23" name="Retângulo: Cantos Arredondados 2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FFDF4CFE-FBF8-45BE-A205-9B0482286C59}"/>
            </a:ext>
          </a:extLst>
        </xdr:cNvPr>
        <xdr:cNvSpPr/>
      </xdr:nvSpPr>
      <xdr:spPr>
        <a:xfrm>
          <a:off x="18950986" y="28763358"/>
          <a:ext cx="964469" cy="538493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ITP</a:t>
          </a:r>
        </a:p>
      </xdr:txBody>
    </xdr:sp>
    <xdr:clientData/>
  </xdr:twoCellAnchor>
  <xdr:twoCellAnchor>
    <xdr:from>
      <xdr:col>9</xdr:col>
      <xdr:colOff>192339</xdr:colOff>
      <xdr:row>46</xdr:row>
      <xdr:rowOff>593507</xdr:rowOff>
    </xdr:from>
    <xdr:to>
      <xdr:col>10</xdr:col>
      <xdr:colOff>551690</xdr:colOff>
      <xdr:row>47</xdr:row>
      <xdr:rowOff>531595</xdr:rowOff>
    </xdr:to>
    <xdr:sp macro="" textlink="">
      <xdr:nvSpPr>
        <xdr:cNvPr id="24" name="Retângulo: Cantos Arredondados 23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5B3EE3FA-31A0-412C-B8EF-515B2710723C}"/>
            </a:ext>
          </a:extLst>
        </xdr:cNvPr>
        <xdr:cNvSpPr/>
      </xdr:nvSpPr>
      <xdr:spPr>
        <a:xfrm>
          <a:off x="18950986" y="26983360"/>
          <a:ext cx="964469" cy="5320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HTO</a:t>
          </a:r>
        </a:p>
      </xdr:txBody>
    </xdr:sp>
    <xdr:clientData/>
  </xdr:twoCellAnchor>
  <xdr:twoCellAnchor>
    <xdr:from>
      <xdr:col>9</xdr:col>
      <xdr:colOff>192339</xdr:colOff>
      <xdr:row>43</xdr:row>
      <xdr:rowOff>588751</xdr:rowOff>
    </xdr:from>
    <xdr:to>
      <xdr:col>10</xdr:col>
      <xdr:colOff>551690</xdr:colOff>
      <xdr:row>44</xdr:row>
      <xdr:rowOff>533332</xdr:rowOff>
    </xdr:to>
    <xdr:sp macro="" textlink="">
      <xdr:nvSpPr>
        <xdr:cNvPr id="25" name="Retângulo: Cantos Arredondados 2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7CBC4347-0D3C-4322-9F9E-D1E30225B10A}"/>
            </a:ext>
          </a:extLst>
        </xdr:cNvPr>
        <xdr:cNvSpPr/>
      </xdr:nvSpPr>
      <xdr:spPr>
        <a:xfrm>
          <a:off x="18950986" y="25196869"/>
          <a:ext cx="964469" cy="538492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GRU</a:t>
          </a:r>
        </a:p>
      </xdr:txBody>
    </xdr:sp>
    <xdr:clientData/>
  </xdr:twoCellAnchor>
  <xdr:twoCellAnchor>
    <xdr:from>
      <xdr:col>9</xdr:col>
      <xdr:colOff>192339</xdr:colOff>
      <xdr:row>40</xdr:row>
      <xdr:rowOff>590488</xdr:rowOff>
    </xdr:from>
    <xdr:to>
      <xdr:col>10</xdr:col>
      <xdr:colOff>551690</xdr:colOff>
      <xdr:row>41</xdr:row>
      <xdr:rowOff>528576</xdr:rowOff>
    </xdr:to>
    <xdr:sp macro="" textlink="">
      <xdr:nvSpPr>
        <xdr:cNvPr id="26" name="Retângulo: Cantos Arredondados 25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495394DA-8EAD-4228-87E8-FED89F7E6F9A}"/>
            </a:ext>
          </a:extLst>
        </xdr:cNvPr>
        <xdr:cNvSpPr/>
      </xdr:nvSpPr>
      <xdr:spPr>
        <a:xfrm>
          <a:off x="18950986" y="23416870"/>
          <a:ext cx="964469" cy="5320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CBT</a:t>
          </a:r>
        </a:p>
      </xdr:txBody>
    </xdr:sp>
    <xdr:clientData/>
  </xdr:twoCellAnchor>
  <xdr:twoCellAnchor>
    <xdr:from>
      <xdr:col>9</xdr:col>
      <xdr:colOff>192339</xdr:colOff>
      <xdr:row>37</xdr:row>
      <xdr:rowOff>592226</xdr:rowOff>
    </xdr:from>
    <xdr:to>
      <xdr:col>10</xdr:col>
      <xdr:colOff>551690</xdr:colOff>
      <xdr:row>38</xdr:row>
      <xdr:rowOff>530313</xdr:rowOff>
    </xdr:to>
    <xdr:sp macro="" textlink="">
      <xdr:nvSpPr>
        <xdr:cNvPr id="27" name="Retângulo: Cantos Arredondados 26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F9F98F6E-4A4B-409A-B3D7-5B77FF0C858E}"/>
            </a:ext>
          </a:extLst>
        </xdr:cNvPr>
        <xdr:cNvSpPr/>
      </xdr:nvSpPr>
      <xdr:spPr>
        <a:xfrm>
          <a:off x="18950986" y="21636873"/>
          <a:ext cx="964469" cy="531999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CTD</a:t>
          </a:r>
        </a:p>
      </xdr:txBody>
    </xdr:sp>
    <xdr:clientData/>
  </xdr:twoCellAnchor>
  <xdr:twoCellAnchor>
    <xdr:from>
      <xdr:col>9</xdr:col>
      <xdr:colOff>192339</xdr:colOff>
      <xdr:row>35</xdr:row>
      <xdr:rowOff>51</xdr:rowOff>
    </xdr:from>
    <xdr:to>
      <xdr:col>10</xdr:col>
      <xdr:colOff>551690</xdr:colOff>
      <xdr:row>35</xdr:row>
      <xdr:rowOff>532051</xdr:rowOff>
    </xdr:to>
    <xdr:sp macro="" textlink="">
      <xdr:nvSpPr>
        <xdr:cNvPr id="28" name="Retângulo: Cantos Arredondados 27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BCAD8987-28A5-4302-A0C1-D0412F57B1F9}"/>
            </a:ext>
          </a:extLst>
        </xdr:cNvPr>
        <xdr:cNvSpPr/>
      </xdr:nvSpPr>
      <xdr:spPr>
        <a:xfrm>
          <a:off x="18950986" y="19856875"/>
          <a:ext cx="964469" cy="5320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CAR</a:t>
          </a:r>
        </a:p>
      </xdr:txBody>
    </xdr:sp>
    <xdr:clientData/>
  </xdr:twoCellAnchor>
  <xdr:twoCellAnchor>
    <xdr:from>
      <xdr:col>9</xdr:col>
      <xdr:colOff>192339</xdr:colOff>
      <xdr:row>32</xdr:row>
      <xdr:rowOff>388</xdr:rowOff>
    </xdr:from>
    <xdr:to>
      <xdr:col>10</xdr:col>
      <xdr:colOff>551690</xdr:colOff>
      <xdr:row>32</xdr:row>
      <xdr:rowOff>533788</xdr:rowOff>
    </xdr:to>
    <xdr:sp macro="" textlink="">
      <xdr:nvSpPr>
        <xdr:cNvPr id="29" name="Retângulo: Cantos Arredondados 28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63F4D6AB-253F-4FED-B4CB-B304F82B1E7C}"/>
            </a:ext>
          </a:extLst>
        </xdr:cNvPr>
        <xdr:cNvSpPr/>
      </xdr:nvSpPr>
      <xdr:spPr>
        <a:xfrm>
          <a:off x="18950986" y="18075476"/>
          <a:ext cx="964469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CPV</a:t>
          </a:r>
        </a:p>
      </xdr:txBody>
    </xdr:sp>
    <xdr:clientData/>
  </xdr:twoCellAnchor>
  <xdr:twoCellAnchor>
    <xdr:from>
      <xdr:col>9</xdr:col>
      <xdr:colOff>192339</xdr:colOff>
      <xdr:row>29</xdr:row>
      <xdr:rowOff>2126</xdr:rowOff>
    </xdr:from>
    <xdr:to>
      <xdr:col>10</xdr:col>
      <xdr:colOff>551691</xdr:colOff>
      <xdr:row>29</xdr:row>
      <xdr:rowOff>535526</xdr:rowOff>
    </xdr:to>
    <xdr:sp macro="" textlink="">
      <xdr:nvSpPr>
        <xdr:cNvPr id="30" name="Retângulo: Cantos Arredondados 29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6066AB61-1968-4329-9B18-58E960F93F42}"/>
            </a:ext>
          </a:extLst>
        </xdr:cNvPr>
        <xdr:cNvSpPr/>
      </xdr:nvSpPr>
      <xdr:spPr>
        <a:xfrm>
          <a:off x="18950986" y="16295479"/>
          <a:ext cx="96447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CJO</a:t>
          </a:r>
        </a:p>
      </xdr:txBody>
    </xdr:sp>
    <xdr:clientData/>
  </xdr:twoCellAnchor>
  <xdr:twoCellAnchor>
    <xdr:from>
      <xdr:col>9</xdr:col>
      <xdr:colOff>198833</xdr:colOff>
      <xdr:row>25</xdr:row>
      <xdr:rowOff>592683</xdr:rowOff>
    </xdr:from>
    <xdr:to>
      <xdr:col>10</xdr:col>
      <xdr:colOff>535671</xdr:colOff>
      <xdr:row>26</xdr:row>
      <xdr:rowOff>537263</xdr:rowOff>
    </xdr:to>
    <xdr:sp macro="" textlink="">
      <xdr:nvSpPr>
        <xdr:cNvPr id="31" name="Retângulo: Cantos Arredondados 30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F6CA803D-B91B-47C7-B9E9-FA1B2D198509}"/>
            </a:ext>
          </a:extLst>
        </xdr:cNvPr>
        <xdr:cNvSpPr/>
      </xdr:nvSpPr>
      <xdr:spPr>
        <a:xfrm>
          <a:off x="18957480" y="14510389"/>
          <a:ext cx="941956" cy="538492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CMP</a:t>
          </a:r>
        </a:p>
      </xdr:txBody>
    </xdr:sp>
    <xdr:clientData/>
  </xdr:twoCellAnchor>
  <xdr:twoCellAnchor>
    <xdr:from>
      <xdr:col>9</xdr:col>
      <xdr:colOff>192339</xdr:colOff>
      <xdr:row>22</xdr:row>
      <xdr:rowOff>587925</xdr:rowOff>
    </xdr:from>
    <xdr:to>
      <xdr:col>10</xdr:col>
      <xdr:colOff>551691</xdr:colOff>
      <xdr:row>23</xdr:row>
      <xdr:rowOff>532508</xdr:rowOff>
    </xdr:to>
    <xdr:sp macro="" textlink="">
      <xdr:nvSpPr>
        <xdr:cNvPr id="32" name="Retângulo: Cantos Arredondados 31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546777DB-FCAF-4665-A8AF-CFEC87C090C1}"/>
            </a:ext>
          </a:extLst>
        </xdr:cNvPr>
        <xdr:cNvSpPr/>
      </xdr:nvSpPr>
      <xdr:spPr>
        <a:xfrm>
          <a:off x="18950986" y="12723896"/>
          <a:ext cx="964470" cy="538494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BRA</a:t>
          </a:r>
        </a:p>
      </xdr:txBody>
    </xdr:sp>
    <xdr:clientData/>
  </xdr:twoCellAnchor>
  <xdr:twoCellAnchor>
    <xdr:from>
      <xdr:col>9</xdr:col>
      <xdr:colOff>198833</xdr:colOff>
      <xdr:row>19</xdr:row>
      <xdr:rowOff>589663</xdr:rowOff>
    </xdr:from>
    <xdr:to>
      <xdr:col>10</xdr:col>
      <xdr:colOff>535671</xdr:colOff>
      <xdr:row>20</xdr:row>
      <xdr:rowOff>527750</xdr:rowOff>
    </xdr:to>
    <xdr:sp macro="" textlink="">
      <xdr:nvSpPr>
        <xdr:cNvPr id="33" name="Retângulo: Cantos Arredondados 32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A2E06257-4D57-409C-BA03-B6D0BF328D5F}"/>
            </a:ext>
          </a:extLst>
        </xdr:cNvPr>
        <xdr:cNvSpPr/>
      </xdr:nvSpPr>
      <xdr:spPr>
        <a:xfrm>
          <a:off x="18957480" y="10943898"/>
          <a:ext cx="941956" cy="531999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BTV</a:t>
          </a:r>
        </a:p>
      </xdr:txBody>
    </xdr:sp>
    <xdr:clientData/>
  </xdr:twoCellAnchor>
  <xdr:twoCellAnchor>
    <xdr:from>
      <xdr:col>9</xdr:col>
      <xdr:colOff>198833</xdr:colOff>
      <xdr:row>16</xdr:row>
      <xdr:rowOff>584905</xdr:rowOff>
    </xdr:from>
    <xdr:to>
      <xdr:col>10</xdr:col>
      <xdr:colOff>535672</xdr:colOff>
      <xdr:row>17</xdr:row>
      <xdr:rowOff>529488</xdr:rowOff>
    </xdr:to>
    <xdr:sp macro="" textlink="">
      <xdr:nvSpPr>
        <xdr:cNvPr id="34" name="Retângulo: Cantos Arredondados 33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26D0297E-A7B1-4824-A977-48FA96B7EBDA}"/>
            </a:ext>
          </a:extLst>
        </xdr:cNvPr>
        <xdr:cNvSpPr/>
      </xdr:nvSpPr>
      <xdr:spPr>
        <a:xfrm>
          <a:off x="18957480" y="9157405"/>
          <a:ext cx="941957" cy="53849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BRI</a:t>
          </a:r>
        </a:p>
      </xdr:txBody>
    </xdr:sp>
    <xdr:clientData/>
  </xdr:twoCellAnchor>
  <xdr:twoCellAnchor>
    <xdr:from>
      <xdr:col>9</xdr:col>
      <xdr:colOff>198833</xdr:colOff>
      <xdr:row>13</xdr:row>
      <xdr:rowOff>586643</xdr:rowOff>
    </xdr:from>
    <xdr:to>
      <xdr:col>10</xdr:col>
      <xdr:colOff>535672</xdr:colOff>
      <xdr:row>14</xdr:row>
      <xdr:rowOff>524730</xdr:rowOff>
    </xdr:to>
    <xdr:sp macro="" textlink="">
      <xdr:nvSpPr>
        <xdr:cNvPr id="35" name="Retângulo: Cantos Arredondados 34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F4102A6-021F-449D-8F2C-3F75BEDD06BA}"/>
            </a:ext>
          </a:extLst>
        </xdr:cNvPr>
        <xdr:cNvSpPr/>
      </xdr:nvSpPr>
      <xdr:spPr>
        <a:xfrm>
          <a:off x="18957480" y="7377408"/>
          <a:ext cx="941957" cy="531998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BRT</a:t>
          </a:r>
        </a:p>
      </xdr:txBody>
    </xdr:sp>
    <xdr:clientData/>
  </xdr:twoCellAnchor>
  <xdr:twoCellAnchor>
    <xdr:from>
      <xdr:col>9</xdr:col>
      <xdr:colOff>198833</xdr:colOff>
      <xdr:row>10</xdr:row>
      <xdr:rowOff>588380</xdr:rowOff>
    </xdr:from>
    <xdr:to>
      <xdr:col>10</xdr:col>
      <xdr:colOff>535672</xdr:colOff>
      <xdr:row>11</xdr:row>
      <xdr:rowOff>526468</xdr:rowOff>
    </xdr:to>
    <xdr:sp macro="" textlink="">
      <xdr:nvSpPr>
        <xdr:cNvPr id="36" name="Retângulo: Cantos Arredondados 35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1B4F61A5-27F5-4937-A65A-328917F92DB4}"/>
            </a:ext>
          </a:extLst>
        </xdr:cNvPr>
        <xdr:cNvSpPr/>
      </xdr:nvSpPr>
      <xdr:spPr>
        <a:xfrm>
          <a:off x="18957480" y="5597409"/>
          <a:ext cx="941957" cy="5320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AVR</a:t>
          </a:r>
        </a:p>
      </xdr:txBody>
    </xdr:sp>
    <xdr:clientData/>
  </xdr:twoCellAnchor>
  <xdr:twoCellAnchor>
    <xdr:from>
      <xdr:col>9</xdr:col>
      <xdr:colOff>192339</xdr:colOff>
      <xdr:row>7</xdr:row>
      <xdr:rowOff>585355</xdr:rowOff>
    </xdr:from>
    <xdr:to>
      <xdr:col>10</xdr:col>
      <xdr:colOff>551691</xdr:colOff>
      <xdr:row>8</xdr:row>
      <xdr:rowOff>528205</xdr:rowOff>
    </xdr:to>
    <xdr:sp macro="" textlink="">
      <xdr:nvSpPr>
        <xdr:cNvPr id="37" name="Retângulo: Cantos Arredondados 36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20F46CD6-2320-4AA5-A1E2-28B16669FBD2}"/>
            </a:ext>
          </a:extLst>
        </xdr:cNvPr>
        <xdr:cNvSpPr/>
      </xdr:nvSpPr>
      <xdr:spPr>
        <a:xfrm>
          <a:off x="18950986" y="3812649"/>
          <a:ext cx="964470" cy="536762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ARQ</a:t>
          </a:r>
        </a:p>
      </xdr:txBody>
    </xdr:sp>
    <xdr:clientData/>
  </xdr:twoCellAnchor>
  <xdr:twoCellAnchor>
    <xdr:from>
      <xdr:col>9</xdr:col>
      <xdr:colOff>202080</xdr:colOff>
      <xdr:row>116</xdr:row>
      <xdr:rowOff>25976</xdr:rowOff>
    </xdr:from>
    <xdr:to>
      <xdr:col>10</xdr:col>
      <xdr:colOff>541949</xdr:colOff>
      <xdr:row>116</xdr:row>
      <xdr:rowOff>557210</xdr:rowOff>
    </xdr:to>
    <xdr:sp macro="" textlink="">
      <xdr:nvSpPr>
        <xdr:cNvPr id="38" name="Retângulo: Cantos Arredondados 37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D8853746-AC8A-4BFC-95A5-C4EA1781B62A}"/>
            </a:ext>
          </a:extLst>
        </xdr:cNvPr>
        <xdr:cNvSpPr/>
      </xdr:nvSpPr>
      <xdr:spPr>
        <a:xfrm>
          <a:off x="18960727" y="67989652"/>
          <a:ext cx="944987" cy="531234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TUP</a:t>
          </a:r>
        </a:p>
      </xdr:txBody>
    </xdr:sp>
    <xdr:clientData/>
  </xdr:twoCellAnchor>
  <xdr:twoCellAnchor>
    <xdr:from>
      <xdr:col>9</xdr:col>
      <xdr:colOff>192338</xdr:colOff>
      <xdr:row>86</xdr:row>
      <xdr:rowOff>21066</xdr:rowOff>
    </xdr:from>
    <xdr:to>
      <xdr:col>10</xdr:col>
      <xdr:colOff>551691</xdr:colOff>
      <xdr:row>86</xdr:row>
      <xdr:rowOff>550755</xdr:rowOff>
    </xdr:to>
    <xdr:sp macro="" textlink="">
      <xdr:nvSpPr>
        <xdr:cNvPr id="39" name="Retângulo: Cantos Arredondados 38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A2121DAF-9009-46F5-AAC5-8285C302BD24}"/>
            </a:ext>
          </a:extLst>
        </xdr:cNvPr>
        <xdr:cNvSpPr/>
      </xdr:nvSpPr>
      <xdr:spPr>
        <a:xfrm>
          <a:off x="18950985" y="50167390"/>
          <a:ext cx="964471" cy="529689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SJP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1028700</xdr:colOff>
      <xdr:row>1</xdr:row>
      <xdr:rowOff>33337</xdr:rowOff>
    </xdr:from>
    <xdr:to>
      <xdr:col>8</xdr:col>
      <xdr:colOff>143699</xdr:colOff>
      <xdr:row>3</xdr:row>
      <xdr:rowOff>147637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B74433-C391-4558-9942-F367992DF6B9}"/>
            </a:ext>
          </a:extLst>
        </xdr:cNvPr>
        <xdr:cNvSpPr/>
      </xdr:nvSpPr>
      <xdr:spPr>
        <a:xfrm>
          <a:off x="8420100" y="223837"/>
          <a:ext cx="1543874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400049</xdr:colOff>
      <xdr:row>1</xdr:row>
      <xdr:rowOff>33337</xdr:rowOff>
    </xdr:from>
    <xdr:to>
      <xdr:col>11</xdr:col>
      <xdr:colOff>77024</xdr:colOff>
      <xdr:row>3</xdr:row>
      <xdr:rowOff>147637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00E6629-07CA-4EA2-B73B-8EBE6950D365}"/>
            </a:ext>
          </a:extLst>
        </xdr:cNvPr>
        <xdr:cNvSpPr/>
      </xdr:nvSpPr>
      <xdr:spPr>
        <a:xfrm>
          <a:off x="10220324" y="223837"/>
          <a:ext cx="2239200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REITOR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1028700</xdr:colOff>
      <xdr:row>1</xdr:row>
      <xdr:rowOff>33337</xdr:rowOff>
    </xdr:from>
    <xdr:to>
      <xdr:col>8</xdr:col>
      <xdr:colOff>143699</xdr:colOff>
      <xdr:row>3</xdr:row>
      <xdr:rowOff>147637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6C6886-CC8E-4EEB-869A-1671E92034FC}"/>
            </a:ext>
          </a:extLst>
        </xdr:cNvPr>
        <xdr:cNvSpPr/>
      </xdr:nvSpPr>
      <xdr:spPr>
        <a:xfrm>
          <a:off x="8420100" y="223837"/>
          <a:ext cx="1543874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400049</xdr:colOff>
      <xdr:row>1</xdr:row>
      <xdr:rowOff>33337</xdr:rowOff>
    </xdr:from>
    <xdr:to>
      <xdr:col>11</xdr:col>
      <xdr:colOff>77024</xdr:colOff>
      <xdr:row>3</xdr:row>
      <xdr:rowOff>147637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E0B991A-0AC6-4CE5-A467-A26E42593480}"/>
            </a:ext>
          </a:extLst>
        </xdr:cNvPr>
        <xdr:cNvSpPr/>
      </xdr:nvSpPr>
      <xdr:spPr>
        <a:xfrm>
          <a:off x="10220324" y="223837"/>
          <a:ext cx="2239200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REITOR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1028700</xdr:colOff>
      <xdr:row>1</xdr:row>
      <xdr:rowOff>33337</xdr:rowOff>
    </xdr:from>
    <xdr:to>
      <xdr:col>8</xdr:col>
      <xdr:colOff>143699</xdr:colOff>
      <xdr:row>3</xdr:row>
      <xdr:rowOff>147637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17B19-4C93-49D5-98B8-6F2E568955E3}"/>
            </a:ext>
          </a:extLst>
        </xdr:cNvPr>
        <xdr:cNvSpPr/>
      </xdr:nvSpPr>
      <xdr:spPr>
        <a:xfrm>
          <a:off x="8420100" y="223837"/>
          <a:ext cx="1543874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400049</xdr:colOff>
      <xdr:row>1</xdr:row>
      <xdr:rowOff>33337</xdr:rowOff>
    </xdr:from>
    <xdr:to>
      <xdr:col>11</xdr:col>
      <xdr:colOff>77024</xdr:colOff>
      <xdr:row>3</xdr:row>
      <xdr:rowOff>147637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3F798A-D0B0-4891-BA7D-F4C6A5039FE4}"/>
            </a:ext>
          </a:extLst>
        </xdr:cNvPr>
        <xdr:cNvSpPr/>
      </xdr:nvSpPr>
      <xdr:spPr>
        <a:xfrm>
          <a:off x="10220324" y="223837"/>
          <a:ext cx="2239200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REITOR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1028700</xdr:colOff>
      <xdr:row>1</xdr:row>
      <xdr:rowOff>33337</xdr:rowOff>
    </xdr:from>
    <xdr:to>
      <xdr:col>13</xdr:col>
      <xdr:colOff>143699</xdr:colOff>
      <xdr:row>3</xdr:row>
      <xdr:rowOff>147637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31CCDD-B533-485F-97F3-1F6B4DD83720}"/>
            </a:ext>
          </a:extLst>
        </xdr:cNvPr>
        <xdr:cNvSpPr/>
      </xdr:nvSpPr>
      <xdr:spPr>
        <a:xfrm>
          <a:off x="12192000" y="223837"/>
          <a:ext cx="13438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400049</xdr:colOff>
      <xdr:row>1</xdr:row>
      <xdr:rowOff>33337</xdr:rowOff>
    </xdr:from>
    <xdr:to>
      <xdr:col>16</xdr:col>
      <xdr:colOff>77024</xdr:colOff>
      <xdr:row>3</xdr:row>
      <xdr:rowOff>147637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F3F59C2-827F-443A-95CA-292E4793CE9C}"/>
            </a:ext>
          </a:extLst>
        </xdr:cNvPr>
        <xdr:cNvSpPr/>
      </xdr:nvSpPr>
      <xdr:spPr>
        <a:xfrm>
          <a:off x="13792199" y="223837"/>
          <a:ext cx="2239200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REITOR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1028700</xdr:colOff>
      <xdr:row>1</xdr:row>
      <xdr:rowOff>33337</xdr:rowOff>
    </xdr:from>
    <xdr:to>
      <xdr:col>8</xdr:col>
      <xdr:colOff>143699</xdr:colOff>
      <xdr:row>3</xdr:row>
      <xdr:rowOff>147637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72059B-B2EB-4260-AAB1-2AAC5651886C}"/>
            </a:ext>
          </a:extLst>
        </xdr:cNvPr>
        <xdr:cNvSpPr/>
      </xdr:nvSpPr>
      <xdr:spPr>
        <a:xfrm>
          <a:off x="8420100" y="223837"/>
          <a:ext cx="1543874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400049</xdr:colOff>
      <xdr:row>1</xdr:row>
      <xdr:rowOff>33337</xdr:rowOff>
    </xdr:from>
    <xdr:to>
      <xdr:col>11</xdr:col>
      <xdr:colOff>77024</xdr:colOff>
      <xdr:row>3</xdr:row>
      <xdr:rowOff>147637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DD4F7C3-F491-487D-87E1-368A37325F31}"/>
            </a:ext>
          </a:extLst>
        </xdr:cNvPr>
        <xdr:cNvSpPr/>
      </xdr:nvSpPr>
      <xdr:spPr>
        <a:xfrm>
          <a:off x="10220324" y="223837"/>
          <a:ext cx="2239200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REITOR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657225</xdr:colOff>
      <xdr:row>1</xdr:row>
      <xdr:rowOff>19049</xdr:rowOff>
    </xdr:from>
    <xdr:to>
      <xdr:col>9</xdr:col>
      <xdr:colOff>95249</xdr:colOff>
      <xdr:row>3</xdr:row>
      <xdr:rowOff>133349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03A108-374D-4C11-A2B8-C7F1128B0ED0}"/>
            </a:ext>
          </a:extLst>
        </xdr:cNvPr>
        <xdr:cNvSpPr/>
      </xdr:nvSpPr>
      <xdr:spPr>
        <a:xfrm>
          <a:off x="7705725" y="2095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</xdr:row>
      <xdr:rowOff>95249</xdr:rowOff>
    </xdr:from>
    <xdr:to>
      <xdr:col>8</xdr:col>
      <xdr:colOff>1000124</xdr:colOff>
      <xdr:row>4</xdr:row>
      <xdr:rowOff>19049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E3F43E-6701-488E-84F8-2312688CF3AC}"/>
            </a:ext>
          </a:extLst>
        </xdr:cNvPr>
        <xdr:cNvSpPr/>
      </xdr:nvSpPr>
      <xdr:spPr>
        <a:xfrm>
          <a:off x="8477250" y="2857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1476374</xdr:colOff>
      <xdr:row>1</xdr:row>
      <xdr:rowOff>9524</xdr:rowOff>
    </xdr:from>
    <xdr:to>
      <xdr:col>8</xdr:col>
      <xdr:colOff>571499</xdr:colOff>
      <xdr:row>3</xdr:row>
      <xdr:rowOff>123824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F9AFD4-958D-4F8E-ADC9-D97B732AD221}"/>
            </a:ext>
          </a:extLst>
        </xdr:cNvPr>
        <xdr:cNvSpPr/>
      </xdr:nvSpPr>
      <xdr:spPr>
        <a:xfrm>
          <a:off x="8810624" y="200024"/>
          <a:ext cx="2238375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1028700</xdr:colOff>
      <xdr:row>1</xdr:row>
      <xdr:rowOff>33337</xdr:rowOff>
    </xdr:from>
    <xdr:to>
      <xdr:col>8</xdr:col>
      <xdr:colOff>143699</xdr:colOff>
      <xdr:row>3</xdr:row>
      <xdr:rowOff>147637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EB5BF2-2A57-4C9D-B85F-8FA2B0D9A60B}"/>
            </a:ext>
          </a:extLst>
        </xdr:cNvPr>
        <xdr:cNvSpPr/>
      </xdr:nvSpPr>
      <xdr:spPr>
        <a:xfrm>
          <a:off x="8420100" y="223837"/>
          <a:ext cx="1543874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400049</xdr:colOff>
      <xdr:row>1</xdr:row>
      <xdr:rowOff>33337</xdr:rowOff>
    </xdr:from>
    <xdr:to>
      <xdr:col>11</xdr:col>
      <xdr:colOff>77024</xdr:colOff>
      <xdr:row>3</xdr:row>
      <xdr:rowOff>147637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9D9B5B5-41EB-4BC6-ABB1-5C5A14D938AE}"/>
            </a:ext>
          </a:extLst>
        </xdr:cNvPr>
        <xdr:cNvSpPr/>
      </xdr:nvSpPr>
      <xdr:spPr>
        <a:xfrm>
          <a:off x="10220324" y="223837"/>
          <a:ext cx="2239200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REITOR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1028700</xdr:colOff>
      <xdr:row>1</xdr:row>
      <xdr:rowOff>33337</xdr:rowOff>
    </xdr:from>
    <xdr:to>
      <xdr:col>13</xdr:col>
      <xdr:colOff>143699</xdr:colOff>
      <xdr:row>3</xdr:row>
      <xdr:rowOff>147637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6E9B2D-6557-48D7-A53C-EB4E60B4BE7C}"/>
            </a:ext>
          </a:extLst>
        </xdr:cNvPr>
        <xdr:cNvSpPr/>
      </xdr:nvSpPr>
      <xdr:spPr>
        <a:xfrm>
          <a:off x="12192000" y="223837"/>
          <a:ext cx="13438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400049</xdr:colOff>
      <xdr:row>1</xdr:row>
      <xdr:rowOff>33337</xdr:rowOff>
    </xdr:from>
    <xdr:to>
      <xdr:col>16</xdr:col>
      <xdr:colOff>77024</xdr:colOff>
      <xdr:row>3</xdr:row>
      <xdr:rowOff>147637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70F791-12F0-44B1-84BA-81FDFE3B73CA}"/>
            </a:ext>
          </a:extLst>
        </xdr:cNvPr>
        <xdr:cNvSpPr/>
      </xdr:nvSpPr>
      <xdr:spPr>
        <a:xfrm>
          <a:off x="13792199" y="223837"/>
          <a:ext cx="2239200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REITOR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>
    <tabColor rgb="FFFFC000"/>
  </sheetPr>
  <dimension ref="A2:M36"/>
  <sheetViews>
    <sheetView showRowColHeaders="0" tabSelected="1" zoomScale="85" zoomScaleNormal="85" workbookViewId="0">
      <selection activeCell="C58" sqref="C58"/>
    </sheetView>
  </sheetViews>
  <sheetFormatPr defaultColWidth="9.109375" defaultRowHeight="14.4" x14ac:dyDescent="0.3"/>
  <cols>
    <col min="1" max="16384" width="9.109375" style="12"/>
  </cols>
  <sheetData>
    <row r="2" spans="1:13" ht="28.8" x14ac:dyDescent="0.3">
      <c r="B2" s="4" t="s">
        <v>344</v>
      </c>
    </row>
    <row r="3" spans="1:13" ht="18" x14ac:dyDescent="0.35">
      <c r="B3" s="33" t="s">
        <v>230</v>
      </c>
    </row>
    <row r="5" spans="1:13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3" x14ac:dyDescent="0.3">
      <c r="A6" s="32"/>
      <c r="B6" s="35" t="s">
        <v>231</v>
      </c>
      <c r="C6" s="32"/>
      <c r="D6" s="32"/>
      <c r="E6" s="32"/>
      <c r="F6" s="32"/>
      <c r="G6" s="32"/>
      <c r="H6" s="32"/>
      <c r="I6" s="32"/>
      <c r="J6" s="32"/>
    </row>
    <row r="7" spans="1:13" x14ac:dyDescent="0.3">
      <c r="A7" s="32"/>
      <c r="B7" s="32" t="s">
        <v>235</v>
      </c>
      <c r="C7" s="32"/>
      <c r="D7" s="32"/>
      <c r="E7" s="32"/>
      <c r="F7" s="32"/>
      <c r="G7" s="32"/>
      <c r="H7" s="32"/>
      <c r="I7" s="32"/>
      <c r="J7" s="32"/>
      <c r="M7" s="32"/>
    </row>
    <row r="8" spans="1:13" x14ac:dyDescent="0.3">
      <c r="A8" s="32"/>
      <c r="B8" s="32"/>
      <c r="C8" s="32"/>
      <c r="D8" s="32"/>
      <c r="E8" s="32"/>
      <c r="F8" s="32"/>
      <c r="G8" s="32"/>
      <c r="H8" s="32"/>
      <c r="I8" s="32"/>
      <c r="J8" s="32"/>
      <c r="M8" s="32"/>
    </row>
    <row r="9" spans="1:13" x14ac:dyDescent="0.3">
      <c r="A9" s="32"/>
      <c r="B9" s="32" t="s">
        <v>233</v>
      </c>
      <c r="C9" s="32"/>
      <c r="D9" s="32"/>
      <c r="E9" s="32"/>
      <c r="F9" s="32"/>
      <c r="G9" s="32"/>
      <c r="H9" s="32"/>
      <c r="I9" s="32"/>
      <c r="J9" s="32"/>
      <c r="M9" s="32"/>
    </row>
    <row r="10" spans="1:13" x14ac:dyDescent="0.3">
      <c r="A10" s="32"/>
      <c r="B10" s="32" t="s">
        <v>236</v>
      </c>
      <c r="C10" s="32"/>
      <c r="D10" s="32"/>
      <c r="E10" s="32"/>
      <c r="F10" s="32"/>
      <c r="G10" s="32"/>
      <c r="H10" s="32"/>
      <c r="I10" s="32"/>
      <c r="J10" s="32"/>
      <c r="M10" s="32"/>
    </row>
    <row r="11" spans="1:13" x14ac:dyDescent="0.3">
      <c r="A11" s="32"/>
      <c r="B11" s="32"/>
      <c r="C11" s="32"/>
      <c r="D11" s="32"/>
      <c r="E11" s="32"/>
      <c r="F11" s="32"/>
      <c r="G11" s="32"/>
      <c r="H11" s="32"/>
      <c r="I11" s="32"/>
      <c r="J11" s="32"/>
      <c r="M11" s="32"/>
    </row>
    <row r="12" spans="1:13" x14ac:dyDescent="0.3">
      <c r="A12" s="32"/>
      <c r="B12" s="32" t="s">
        <v>234</v>
      </c>
      <c r="C12" s="32"/>
      <c r="D12" s="32"/>
      <c r="E12" s="32"/>
      <c r="F12" s="32"/>
      <c r="G12" s="32"/>
      <c r="H12" s="32"/>
      <c r="I12" s="32"/>
      <c r="J12" s="32"/>
      <c r="M12" s="32"/>
    </row>
    <row r="13" spans="1:13" x14ac:dyDescent="0.3">
      <c r="A13" s="32"/>
      <c r="B13" s="32" t="s">
        <v>238</v>
      </c>
      <c r="C13" s="32"/>
      <c r="D13" s="32"/>
      <c r="E13" s="32"/>
      <c r="F13" s="32"/>
      <c r="G13" s="32"/>
      <c r="H13" s="32"/>
      <c r="I13" s="32"/>
      <c r="J13" s="32"/>
      <c r="M13" s="32"/>
    </row>
    <row r="14" spans="1:13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2"/>
      <c r="M14" s="32"/>
    </row>
    <row r="15" spans="1:13" x14ac:dyDescent="0.3">
      <c r="A15" s="32"/>
      <c r="B15" s="32" t="s">
        <v>237</v>
      </c>
      <c r="C15" s="32"/>
      <c r="D15" s="32"/>
      <c r="E15" s="32"/>
      <c r="F15" s="32"/>
      <c r="G15" s="32"/>
      <c r="H15" s="32"/>
      <c r="I15" s="32"/>
      <c r="J15" s="32"/>
      <c r="M15" s="32"/>
    </row>
    <row r="16" spans="1:13" x14ac:dyDescent="0.3">
      <c r="A16" s="32"/>
      <c r="B16" s="32"/>
      <c r="C16" s="32"/>
      <c r="D16" s="32"/>
      <c r="E16" s="32"/>
      <c r="F16" s="32"/>
      <c r="G16" s="32"/>
      <c r="H16" s="32"/>
      <c r="I16" s="32"/>
      <c r="J16" s="32"/>
      <c r="M16" s="32"/>
    </row>
    <row r="17" spans="1:13" x14ac:dyDescent="0.3">
      <c r="A17" s="32"/>
      <c r="B17" s="32" t="s">
        <v>239</v>
      </c>
      <c r="C17" s="32"/>
      <c r="D17" s="32"/>
      <c r="J17" s="32"/>
      <c r="M17" s="32"/>
    </row>
    <row r="18" spans="1:13" x14ac:dyDescent="0.3">
      <c r="A18" s="32"/>
      <c r="B18" s="32"/>
      <c r="M18" s="32"/>
    </row>
    <row r="19" spans="1:13" x14ac:dyDescent="0.3">
      <c r="A19" s="32"/>
      <c r="B19" s="32"/>
      <c r="M19" s="32"/>
    </row>
    <row r="20" spans="1:13" x14ac:dyDescent="0.3">
      <c r="A20" s="32"/>
      <c r="B20" s="32"/>
      <c r="C20" s="32"/>
      <c r="D20" s="32"/>
      <c r="J20" s="32"/>
      <c r="M20" s="32"/>
    </row>
    <row r="21" spans="1:13" x14ac:dyDescent="0.3">
      <c r="A21" s="32"/>
      <c r="B21" s="32"/>
      <c r="C21" s="32"/>
      <c r="D21" s="32"/>
      <c r="J21" s="32"/>
      <c r="M21" s="32"/>
    </row>
    <row r="22" spans="1:13" x14ac:dyDescent="0.3">
      <c r="A22" s="32"/>
      <c r="B22" s="32"/>
      <c r="C22" s="32"/>
      <c r="D22" s="32"/>
      <c r="J22" s="32"/>
      <c r="M22" s="32"/>
    </row>
    <row r="23" spans="1:13" x14ac:dyDescent="0.3">
      <c r="A23" s="32"/>
      <c r="B23" s="32"/>
      <c r="C23" s="32"/>
      <c r="D23" s="32"/>
      <c r="J23" s="32"/>
      <c r="M23" s="32"/>
    </row>
    <row r="24" spans="1:13" x14ac:dyDescent="0.3">
      <c r="A24" s="32"/>
      <c r="B24" s="32"/>
      <c r="C24" s="32"/>
      <c r="D24" s="32"/>
      <c r="J24" s="32"/>
      <c r="M24" s="32"/>
    </row>
    <row r="25" spans="1:13" x14ac:dyDescent="0.3">
      <c r="A25" s="32"/>
      <c r="B25" s="32"/>
      <c r="C25" s="32"/>
      <c r="D25" s="32"/>
      <c r="J25" s="32"/>
      <c r="M25" s="32"/>
    </row>
    <row r="26" spans="1:13" x14ac:dyDescent="0.3">
      <c r="A26" s="32"/>
      <c r="B26" s="32"/>
      <c r="C26" s="32"/>
      <c r="D26" s="32"/>
      <c r="J26" s="32"/>
      <c r="M26" s="32"/>
    </row>
    <row r="27" spans="1:13" x14ac:dyDescent="0.3">
      <c r="A27" s="32"/>
      <c r="B27" s="32"/>
      <c r="C27" s="32"/>
      <c r="D27" s="32"/>
      <c r="J27" s="32"/>
      <c r="M27" s="32"/>
    </row>
    <row r="28" spans="1:13" x14ac:dyDescent="0.3">
      <c r="A28" s="32"/>
      <c r="B28" s="32"/>
      <c r="C28" s="32"/>
      <c r="D28" s="32"/>
      <c r="J28" s="32"/>
      <c r="M28" s="32"/>
    </row>
    <row r="29" spans="1:13" x14ac:dyDescent="0.3">
      <c r="A29" s="32"/>
      <c r="B29" s="12" t="s">
        <v>232</v>
      </c>
      <c r="C29" s="32"/>
      <c r="D29" s="32"/>
      <c r="J29" s="32"/>
      <c r="M29" s="32"/>
    </row>
    <row r="30" spans="1:13" x14ac:dyDescent="0.3">
      <c r="A30" s="32"/>
      <c r="B30" s="32"/>
      <c r="C30" s="32"/>
      <c r="D30" s="32"/>
      <c r="J30" s="32"/>
      <c r="M30" s="32"/>
    </row>
    <row r="31" spans="1:13" x14ac:dyDescent="0.3">
      <c r="A31" s="32"/>
      <c r="B31" s="32"/>
      <c r="C31" s="32"/>
      <c r="D31" s="32"/>
      <c r="J31" s="32"/>
      <c r="M31" s="32"/>
    </row>
    <row r="32" spans="1:13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  <c r="M32" s="32"/>
    </row>
    <row r="33" spans="1:13" x14ac:dyDescent="0.3">
      <c r="A33" s="32"/>
      <c r="B33" s="32"/>
      <c r="C33" s="32"/>
      <c r="D33" s="32"/>
      <c r="E33" s="32"/>
      <c r="F33" s="32"/>
      <c r="G33" s="32"/>
      <c r="H33" s="32"/>
      <c r="I33" s="32"/>
      <c r="J33" s="32"/>
      <c r="M33" s="32"/>
    </row>
    <row r="34" spans="1:13" x14ac:dyDescent="0.3">
      <c r="A34" s="32"/>
      <c r="C34" s="32"/>
      <c r="D34" s="32"/>
      <c r="E34" s="32"/>
      <c r="F34" s="32"/>
      <c r="G34" s="32"/>
      <c r="H34" s="32"/>
      <c r="I34" s="32"/>
      <c r="J34" s="32"/>
      <c r="M34" s="32"/>
    </row>
    <row r="35" spans="1:13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M35" s="32"/>
    </row>
    <row r="36" spans="1:13" x14ac:dyDescent="0.3">
      <c r="M36" s="32"/>
    </row>
  </sheetData>
  <sheetProtection algorithmName="SHA-512" hashValue="d3U3lwEKyUuI0dYH+nGvxGtnB/RqzEIQzDB1nTtrcZlUa9+PPnBkyaSnqJmeL9zQjHVX6jO5YmcY8wBufONYNA==" saltValue="WPffQ9ov7+6C2vMZkwGh1Q==" spinCount="100000" sheet="1" objects="1" scenarios="1"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/>
  <dimension ref="B2:B37"/>
  <sheetViews>
    <sheetView showRowColHeaders="0" zoomScale="130" zoomScaleNormal="130" workbookViewId="0">
      <selection activeCell="C39" sqref="C39"/>
    </sheetView>
  </sheetViews>
  <sheetFormatPr defaultColWidth="9.109375" defaultRowHeight="14.4" x14ac:dyDescent="0.3"/>
  <cols>
    <col min="1" max="16384" width="9.109375" style="32"/>
  </cols>
  <sheetData>
    <row r="2" spans="2:2" ht="36.6" x14ac:dyDescent="0.7">
      <c r="B2" s="37" t="s">
        <v>8</v>
      </c>
    </row>
    <row r="4" spans="2:2" ht="23.4" x14ac:dyDescent="0.45">
      <c r="B4" s="36"/>
    </row>
    <row r="5" spans="2:2" ht="9.75" customHeight="1" x14ac:dyDescent="0.3"/>
    <row r="6" spans="2:2" x14ac:dyDescent="0.3">
      <c r="B6" s="35" t="s">
        <v>224</v>
      </c>
    </row>
    <row r="7" spans="2:2" x14ac:dyDescent="0.3">
      <c r="B7" s="35" t="s">
        <v>225</v>
      </c>
    </row>
    <row r="9" spans="2:2" ht="21" x14ac:dyDescent="0.4">
      <c r="B9" s="34" t="s">
        <v>4</v>
      </c>
    </row>
    <row r="11" spans="2:2" x14ac:dyDescent="0.3">
      <c r="B11" s="35" t="s">
        <v>226</v>
      </c>
    </row>
    <row r="12" spans="2:2" x14ac:dyDescent="0.3">
      <c r="B12" s="35" t="s">
        <v>0</v>
      </c>
    </row>
    <row r="13" spans="2:2" x14ac:dyDescent="0.3">
      <c r="B13" s="35" t="s">
        <v>1</v>
      </c>
    </row>
    <row r="14" spans="2:2" x14ac:dyDescent="0.3">
      <c r="B14" s="35" t="s">
        <v>2</v>
      </c>
    </row>
    <row r="15" spans="2:2" x14ac:dyDescent="0.3">
      <c r="B15" s="35" t="s">
        <v>3</v>
      </c>
    </row>
    <row r="16" spans="2:2" x14ac:dyDescent="0.3">
      <c r="B16" s="35" t="s">
        <v>5</v>
      </c>
    </row>
    <row r="17" spans="2:2" x14ac:dyDescent="0.3">
      <c r="B17" s="35" t="s">
        <v>6</v>
      </c>
    </row>
    <row r="18" spans="2:2" x14ac:dyDescent="0.3">
      <c r="B18" s="35" t="s">
        <v>7</v>
      </c>
    </row>
    <row r="22" spans="2:2" ht="23.4" x14ac:dyDescent="0.45">
      <c r="B22" s="36"/>
    </row>
    <row r="23" spans="2:2" ht="8.25" customHeight="1" x14ac:dyDescent="0.45">
      <c r="B23" s="36"/>
    </row>
    <row r="24" spans="2:2" x14ac:dyDescent="0.3">
      <c r="B24" s="35"/>
    </row>
    <row r="25" spans="2:2" x14ac:dyDescent="0.3">
      <c r="B25" s="35"/>
    </row>
    <row r="26" spans="2:2" x14ac:dyDescent="0.3">
      <c r="B26" s="35"/>
    </row>
    <row r="27" spans="2:2" ht="21" x14ac:dyDescent="0.4">
      <c r="B27" s="34"/>
    </row>
    <row r="28" spans="2:2" x14ac:dyDescent="0.3">
      <c r="B28" s="35"/>
    </row>
    <row r="29" spans="2:2" x14ac:dyDescent="0.3">
      <c r="B29" s="35"/>
    </row>
    <row r="30" spans="2:2" x14ac:dyDescent="0.3">
      <c r="B30" s="35"/>
    </row>
    <row r="31" spans="2:2" x14ac:dyDescent="0.3">
      <c r="B31" s="35"/>
    </row>
    <row r="32" spans="2:2" x14ac:dyDescent="0.3">
      <c r="B32" s="35"/>
    </row>
    <row r="33" spans="2:2" x14ac:dyDescent="0.3">
      <c r="B33" s="35"/>
    </row>
    <row r="34" spans="2:2" x14ac:dyDescent="0.3">
      <c r="B34" s="35"/>
    </row>
    <row r="35" spans="2:2" x14ac:dyDescent="0.3">
      <c r="B35" s="35"/>
    </row>
    <row r="36" spans="2:2" x14ac:dyDescent="0.3">
      <c r="B36" s="35"/>
    </row>
    <row r="37" spans="2:2" x14ac:dyDescent="0.3">
      <c r="B37" s="35"/>
    </row>
  </sheetData>
  <sheetProtection algorithmName="SHA-512" hashValue="0wHYv27W2IMp1kVdfId1ig9Sy6qHtLOpDCNtn3Om4KmR1I2UdM/zUdXxwHiAOVVtkuurMEGwbwEdCh9sam0ykg==" saltValue="hqhNejR5ij8U72f7gg05nw==" spinCount="100000" sheet="1" objects="1" scenarios="1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46">
    <tabColor theme="4"/>
  </sheetPr>
  <dimension ref="A1:Z159"/>
  <sheetViews>
    <sheetView showRowColHeaders="0" zoomScale="70" zoomScaleNormal="70" workbookViewId="0">
      <pane xSplit="3" ySplit="7" topLeftCell="D133" activePane="bottomRight" state="frozen"/>
      <selection activeCell="C39" sqref="C39"/>
      <selection pane="topRight" activeCell="C39" sqref="C39"/>
      <selection pane="bottomLeft" activeCell="C39" sqref="C39"/>
      <selection pane="bottomRight" activeCell="H124" sqref="H124"/>
    </sheetView>
  </sheetViews>
  <sheetFormatPr defaultColWidth="9.109375" defaultRowHeight="25.8" x14ac:dyDescent="0.3"/>
  <cols>
    <col min="1" max="1" width="9.109375" style="1"/>
    <col min="2" max="2" width="15.33203125" style="1" customWidth="1"/>
    <col min="3" max="3" width="40.33203125" style="50" customWidth="1"/>
    <col min="4" max="4" width="34.33203125" style="1" customWidth="1"/>
    <col min="5" max="5" width="36.88671875" style="1" customWidth="1"/>
    <col min="6" max="6" width="25.6640625" style="1" customWidth="1"/>
    <col min="7" max="9" width="25.6640625" style="130" customWidth="1"/>
    <col min="10" max="10" width="13.33203125" style="1" customWidth="1"/>
    <col min="11" max="11" width="10.6640625" style="1" customWidth="1"/>
    <col min="12" max="12" width="18.5546875" style="1" hidden="1" customWidth="1"/>
    <col min="13" max="13" width="19.6640625" style="1" hidden="1" customWidth="1"/>
    <col min="14" max="18" width="0" style="1" hidden="1" customWidth="1"/>
    <col min="19" max="16384" width="9.109375" style="1"/>
  </cols>
  <sheetData>
    <row r="1" spans="1:14" x14ac:dyDescent="0.3">
      <c r="A1" s="2"/>
    </row>
    <row r="2" spans="1:14" ht="31.2" x14ac:dyDescent="0.3">
      <c r="E2" s="51" t="s">
        <v>344</v>
      </c>
    </row>
    <row r="3" spans="1:14" ht="34.200000000000003" thickBot="1" x14ac:dyDescent="0.35">
      <c r="E3" s="52" t="s">
        <v>122</v>
      </c>
    </row>
    <row r="4" spans="1:14" ht="46.5" customHeight="1" thickBot="1" x14ac:dyDescent="0.35">
      <c r="C4" s="56" t="s">
        <v>345</v>
      </c>
      <c r="D4" s="54">
        <f>D144</f>
        <v>24.102698592939689</v>
      </c>
      <c r="E4" s="55">
        <f t="shared" ref="E4" si="0">E144</f>
        <v>35.308750144999266</v>
      </c>
    </row>
    <row r="5" spans="1:14" ht="26.4" thickBot="1" x14ac:dyDescent="0.35">
      <c r="K5" s="2">
        <f>LARGE(D21:D21,1)</f>
        <v>22</v>
      </c>
      <c r="L5" s="2"/>
      <c r="M5" s="2"/>
    </row>
    <row r="6" spans="1:14" ht="24.9" customHeight="1" x14ac:dyDescent="0.3">
      <c r="B6" s="106" t="s">
        <v>9</v>
      </c>
      <c r="C6" s="107" t="s">
        <v>204</v>
      </c>
      <c r="D6" s="108" t="s">
        <v>197</v>
      </c>
      <c r="E6" s="109"/>
      <c r="F6" s="109"/>
      <c r="G6" s="131"/>
      <c r="H6" s="132" t="s">
        <v>205</v>
      </c>
      <c r="I6" s="132" t="s">
        <v>240</v>
      </c>
      <c r="K6" s="2" t="s">
        <v>215</v>
      </c>
      <c r="L6" s="2"/>
      <c r="M6" s="2"/>
    </row>
    <row r="7" spans="1:14" ht="57.75" customHeight="1" x14ac:dyDescent="0.3">
      <c r="B7" s="110"/>
      <c r="C7" s="111"/>
      <c r="D7" s="112" t="s">
        <v>342</v>
      </c>
      <c r="E7" s="112" t="s">
        <v>343</v>
      </c>
      <c r="F7" s="113" t="s">
        <v>198</v>
      </c>
      <c r="G7" s="133" t="s">
        <v>210</v>
      </c>
      <c r="H7" s="134"/>
      <c r="I7" s="134"/>
      <c r="K7" s="2"/>
      <c r="L7" s="2"/>
      <c r="M7" s="2"/>
    </row>
    <row r="8" spans="1:14" ht="46.5" customHeight="1" x14ac:dyDescent="0.3">
      <c r="B8" s="114" t="s">
        <v>11</v>
      </c>
      <c r="C8" s="115" t="str">
        <f>_xlfn.CONCAT(VLOOKUP(B8,urnas!$C$6:$H$150,2)," do Campus ",VLOOKUP(B8,urnas!$C$6:$H$150,4))</f>
        <v>Discentes do Campus Araraquara</v>
      </c>
      <c r="D8" s="149">
        <v>192</v>
      </c>
      <c r="E8" s="149">
        <v>43</v>
      </c>
      <c r="F8" s="149">
        <v>7</v>
      </c>
      <c r="G8" s="135">
        <f t="shared" ref="G8:G39" si="1">SUM(D8:F8)</f>
        <v>242</v>
      </c>
      <c r="H8" s="136">
        <f>VLOOKUP(B8,urnas!$C$6:$H$150,6)</f>
        <v>950</v>
      </c>
      <c r="I8" s="137">
        <f>G8/H8*100</f>
        <v>25.473684210526315</v>
      </c>
      <c r="K8" s="2"/>
      <c r="L8" s="2"/>
      <c r="M8" s="2"/>
    </row>
    <row r="9" spans="1:14" ht="46.5" customHeight="1" x14ac:dyDescent="0.3">
      <c r="B9" s="114" t="s">
        <v>12</v>
      </c>
      <c r="C9" s="115" t="str">
        <f>_xlfn.CONCAT(VLOOKUP(B9,urnas!$C$6:$H$150,2)," do Campus ",VLOOKUP(B9,urnas!$C$6:$H$150,4))</f>
        <v>Docentes do Campus Araraquara</v>
      </c>
      <c r="D9" s="149">
        <v>27</v>
      </c>
      <c r="E9" s="149">
        <v>35</v>
      </c>
      <c r="F9" s="149">
        <v>0</v>
      </c>
      <c r="G9" s="135">
        <f t="shared" si="1"/>
        <v>62</v>
      </c>
      <c r="H9" s="136">
        <f>VLOOKUP(B9,urnas!$C$6:$H$150,6)</f>
        <v>72</v>
      </c>
      <c r="I9" s="137">
        <f t="shared" ref="I9:I72" si="2">G9/H9*100</f>
        <v>86.111111111111114</v>
      </c>
      <c r="K9" s="2"/>
      <c r="L9" s="2"/>
      <c r="M9" s="2"/>
    </row>
    <row r="10" spans="1:14" ht="46.5" customHeight="1" x14ac:dyDescent="0.3">
      <c r="B10" s="114" t="s">
        <v>14</v>
      </c>
      <c r="C10" s="115" t="str">
        <f>_xlfn.CONCAT(VLOOKUP(B10,urnas!$C$6:$H$150,2)," do Campus ",VLOOKUP(B10,urnas!$C$6:$H$150,4))</f>
        <v>TAEs do Campus Araraquara</v>
      </c>
      <c r="D10" s="149">
        <v>29</v>
      </c>
      <c r="E10" s="149">
        <v>9</v>
      </c>
      <c r="F10" s="149">
        <v>1</v>
      </c>
      <c r="G10" s="135">
        <f t="shared" si="1"/>
        <v>39</v>
      </c>
      <c r="H10" s="136">
        <f>VLOOKUP(B10,urnas!$C$6:$H$150,6)</f>
        <v>44</v>
      </c>
      <c r="I10" s="137">
        <f t="shared" si="2"/>
        <v>88.63636363636364</v>
      </c>
      <c r="K10" s="2"/>
      <c r="L10" s="2"/>
      <c r="M10" s="2"/>
    </row>
    <row r="11" spans="1:14" ht="46.5" customHeight="1" x14ac:dyDescent="0.3">
      <c r="B11" s="114" t="s">
        <v>16</v>
      </c>
      <c r="C11" s="115" t="str">
        <f>_xlfn.CONCAT(VLOOKUP(B11,urnas!$C$6:$H$150,2)," do Campus ",VLOOKUP(B11,urnas!$C$6:$H$150,4))</f>
        <v>Discentes do Campus Avaré</v>
      </c>
      <c r="D11" s="149">
        <v>61</v>
      </c>
      <c r="E11" s="149">
        <v>101</v>
      </c>
      <c r="F11" s="149">
        <v>6</v>
      </c>
      <c r="G11" s="135">
        <f t="shared" si="1"/>
        <v>168</v>
      </c>
      <c r="H11" s="136">
        <f>VLOOKUP(B11,urnas!$C$6:$H$150,6)</f>
        <v>925</v>
      </c>
      <c r="I11" s="137">
        <f t="shared" si="2"/>
        <v>18.162162162162161</v>
      </c>
    </row>
    <row r="12" spans="1:14" ht="46.5" customHeight="1" x14ac:dyDescent="0.3">
      <c r="B12" s="114" t="s">
        <v>17</v>
      </c>
      <c r="C12" s="115" t="str">
        <f>_xlfn.CONCAT(VLOOKUP(B12,urnas!$C$6:$H$150,2)," do Campus ",VLOOKUP(B12,urnas!$C$6:$H$150,4))</f>
        <v>Docentes do Campus Avaré</v>
      </c>
      <c r="D12" s="149">
        <v>26</v>
      </c>
      <c r="E12" s="149">
        <v>33</v>
      </c>
      <c r="F12" s="149">
        <v>0</v>
      </c>
      <c r="G12" s="135">
        <f t="shared" si="1"/>
        <v>59</v>
      </c>
      <c r="H12" s="136">
        <f>VLOOKUP(B12,urnas!$C$6:$H$150,6)</f>
        <v>65</v>
      </c>
      <c r="I12" s="137">
        <f t="shared" si="2"/>
        <v>90.769230769230774</v>
      </c>
    </row>
    <row r="13" spans="1:14" ht="46.5" customHeight="1" x14ac:dyDescent="0.3">
      <c r="B13" s="114" t="s">
        <v>18</v>
      </c>
      <c r="C13" s="115" t="str">
        <f>_xlfn.CONCAT(VLOOKUP(B13,urnas!$C$6:$H$150,2)," do Campus ",VLOOKUP(B13,urnas!$C$6:$H$150,4))</f>
        <v>TAEs do Campus Avaré</v>
      </c>
      <c r="D13" s="149">
        <v>7</v>
      </c>
      <c r="E13" s="149">
        <v>26</v>
      </c>
      <c r="F13" s="149">
        <v>1</v>
      </c>
      <c r="G13" s="135">
        <f t="shared" si="1"/>
        <v>34</v>
      </c>
      <c r="H13" s="136">
        <f>VLOOKUP(B13,urnas!$C$6:$H$150,6)</f>
        <v>45</v>
      </c>
      <c r="I13" s="137">
        <f t="shared" si="2"/>
        <v>75.555555555555557</v>
      </c>
    </row>
    <row r="14" spans="1:14" ht="46.5" customHeight="1" x14ac:dyDescent="0.3">
      <c r="B14" s="114" t="s">
        <v>19</v>
      </c>
      <c r="C14" s="115" t="str">
        <f>_xlfn.CONCAT(VLOOKUP(B14,urnas!$C$6:$H$150,2)," do Campus ",VLOOKUP(B14,urnas!$C$6:$H$150,4))</f>
        <v>Discentes do Campus Barretos</v>
      </c>
      <c r="D14" s="149">
        <v>30</v>
      </c>
      <c r="E14" s="149">
        <v>421</v>
      </c>
      <c r="F14" s="149">
        <v>11</v>
      </c>
      <c r="G14" s="135">
        <f t="shared" si="1"/>
        <v>462</v>
      </c>
      <c r="H14" s="136">
        <f>VLOOKUP(B14,urnas!$C$6:$H$150,6)</f>
        <v>1086</v>
      </c>
      <c r="I14" s="137">
        <f t="shared" si="2"/>
        <v>42.541436464088399</v>
      </c>
      <c r="J14" s="12"/>
      <c r="K14" s="12"/>
      <c r="L14" s="12"/>
      <c r="M14" s="12"/>
      <c r="N14" s="12"/>
    </row>
    <row r="15" spans="1:14" ht="46.5" customHeight="1" x14ac:dyDescent="0.3">
      <c r="B15" s="114" t="s">
        <v>20</v>
      </c>
      <c r="C15" s="115" t="str">
        <f>_xlfn.CONCAT(VLOOKUP(B15,urnas!$C$6:$H$150,2)," do Campus ",VLOOKUP(B15,urnas!$C$6:$H$150,4))</f>
        <v>Docentes do Campus Barretos</v>
      </c>
      <c r="D15" s="149">
        <v>11</v>
      </c>
      <c r="E15" s="149">
        <v>52</v>
      </c>
      <c r="F15" s="149">
        <v>2</v>
      </c>
      <c r="G15" s="135">
        <f t="shared" si="1"/>
        <v>65</v>
      </c>
      <c r="H15" s="136">
        <f>VLOOKUP(B15,urnas!$C$6:$H$150,6)</f>
        <v>74</v>
      </c>
      <c r="I15" s="137">
        <f t="shared" si="2"/>
        <v>87.837837837837839</v>
      </c>
      <c r="J15" s="12"/>
      <c r="K15" s="12"/>
      <c r="L15" s="12"/>
      <c r="M15" s="12"/>
      <c r="N15" s="12"/>
    </row>
    <row r="16" spans="1:14" ht="46.5" customHeight="1" x14ac:dyDescent="0.3">
      <c r="B16" s="114" t="s">
        <v>21</v>
      </c>
      <c r="C16" s="115" t="str">
        <f>_xlfn.CONCAT(VLOOKUP(B16,urnas!$C$6:$H$150,2)," do Campus ",VLOOKUP(B16,urnas!$C$6:$H$150,4))</f>
        <v>TAEs do Campus Barretos</v>
      </c>
      <c r="D16" s="149">
        <v>2</v>
      </c>
      <c r="E16" s="149">
        <v>48</v>
      </c>
      <c r="F16" s="149">
        <v>1</v>
      </c>
      <c r="G16" s="135">
        <f t="shared" si="1"/>
        <v>51</v>
      </c>
      <c r="H16" s="136">
        <f>VLOOKUP(B16,urnas!$C$6:$H$150,6)</f>
        <v>54</v>
      </c>
      <c r="I16" s="137">
        <f t="shared" si="2"/>
        <v>94.444444444444443</v>
      </c>
      <c r="J16" s="12"/>
      <c r="K16" s="12"/>
      <c r="L16" s="12"/>
      <c r="M16" s="12"/>
      <c r="N16" s="12"/>
    </row>
    <row r="17" spans="2:14" ht="46.5" customHeight="1" x14ac:dyDescent="0.3">
      <c r="B17" s="114" t="s">
        <v>22</v>
      </c>
      <c r="C17" s="115" t="str">
        <f>_xlfn.CONCAT(VLOOKUP(B17,urnas!$C$6:$H$150,2)," do Campus ",VLOOKUP(B17,urnas!$C$6:$H$150,4))</f>
        <v>Discentes do Campus Birigui</v>
      </c>
      <c r="D17" s="149">
        <v>195</v>
      </c>
      <c r="E17" s="149">
        <v>70</v>
      </c>
      <c r="F17" s="149">
        <v>15</v>
      </c>
      <c r="G17" s="135">
        <f t="shared" si="1"/>
        <v>280</v>
      </c>
      <c r="H17" s="136">
        <f>VLOOKUP(B17,urnas!$C$6:$H$150,6)</f>
        <v>994</v>
      </c>
      <c r="I17" s="137">
        <f t="shared" si="2"/>
        <v>28.169014084507044</v>
      </c>
      <c r="J17" s="12"/>
      <c r="K17" s="12"/>
      <c r="L17" s="12"/>
      <c r="M17" s="12"/>
      <c r="N17" s="12"/>
    </row>
    <row r="18" spans="2:14" ht="46.5" customHeight="1" x14ac:dyDescent="0.3">
      <c r="B18" s="114" t="s">
        <v>23</v>
      </c>
      <c r="C18" s="115" t="str">
        <f>_xlfn.CONCAT(VLOOKUP(B18,urnas!$C$6:$H$150,2)," do Campus ",VLOOKUP(B18,urnas!$C$6:$H$150,4))</f>
        <v>Docentes do Campus Birigui</v>
      </c>
      <c r="D18" s="149">
        <v>27</v>
      </c>
      <c r="E18" s="149">
        <v>31</v>
      </c>
      <c r="F18" s="149">
        <v>0</v>
      </c>
      <c r="G18" s="135">
        <f t="shared" si="1"/>
        <v>58</v>
      </c>
      <c r="H18" s="136">
        <f>VLOOKUP(B18,urnas!$C$6:$H$150,6)</f>
        <v>71</v>
      </c>
      <c r="I18" s="137">
        <f t="shared" si="2"/>
        <v>81.690140845070431</v>
      </c>
      <c r="J18" s="12"/>
      <c r="K18" s="12"/>
      <c r="L18" s="12"/>
      <c r="M18" s="12"/>
      <c r="N18" s="12"/>
    </row>
    <row r="19" spans="2:14" ht="46.5" customHeight="1" x14ac:dyDescent="0.3">
      <c r="B19" s="114" t="s">
        <v>24</v>
      </c>
      <c r="C19" s="115" t="str">
        <f>_xlfn.CONCAT(VLOOKUP(B19,urnas!$C$6:$H$150,2)," do Campus ",VLOOKUP(B19,urnas!$C$6:$H$150,4))</f>
        <v>TAEs do Campus Birigui</v>
      </c>
      <c r="D19" s="149">
        <v>12</v>
      </c>
      <c r="E19" s="149">
        <v>26</v>
      </c>
      <c r="F19" s="149">
        <v>0</v>
      </c>
      <c r="G19" s="135">
        <f t="shared" si="1"/>
        <v>38</v>
      </c>
      <c r="H19" s="136">
        <f>VLOOKUP(B19,urnas!$C$6:$H$150,6)</f>
        <v>44</v>
      </c>
      <c r="I19" s="137">
        <f t="shared" si="2"/>
        <v>86.36363636363636</v>
      </c>
    </row>
    <row r="20" spans="2:14" ht="46.5" customHeight="1" x14ac:dyDescent="0.3">
      <c r="B20" s="114" t="s">
        <v>25</v>
      </c>
      <c r="C20" s="115" t="str">
        <f>_xlfn.CONCAT(VLOOKUP(B20,urnas!$C$6:$H$150,2)," do Campus ",VLOOKUP(B20,urnas!$C$6:$H$150,4))</f>
        <v>Discentes do Campus Boituva</v>
      </c>
      <c r="D20" s="149">
        <v>36</v>
      </c>
      <c r="E20" s="149">
        <v>50</v>
      </c>
      <c r="F20" s="149">
        <v>7</v>
      </c>
      <c r="G20" s="135">
        <f t="shared" si="1"/>
        <v>93</v>
      </c>
      <c r="H20" s="136">
        <f>VLOOKUP(B20,urnas!$C$6:$H$150,6)</f>
        <v>1737</v>
      </c>
      <c r="I20" s="137">
        <f t="shared" si="2"/>
        <v>5.3540587219343694</v>
      </c>
    </row>
    <row r="21" spans="2:14" ht="46.5" customHeight="1" x14ac:dyDescent="0.3">
      <c r="B21" s="114" t="s">
        <v>26</v>
      </c>
      <c r="C21" s="115" t="str">
        <f>_xlfn.CONCAT(VLOOKUP(B21,urnas!$C$6:$H$150,2)," do Campus ",VLOOKUP(B21,urnas!$C$6:$H$150,4))</f>
        <v>Docentes do Campus Boituva</v>
      </c>
      <c r="D21" s="149">
        <v>22</v>
      </c>
      <c r="E21" s="149">
        <v>33</v>
      </c>
      <c r="F21" s="149">
        <v>0</v>
      </c>
      <c r="G21" s="135">
        <f t="shared" si="1"/>
        <v>55</v>
      </c>
      <c r="H21" s="136">
        <f>VLOOKUP(B21,urnas!$C$6:$H$150,6)</f>
        <v>63</v>
      </c>
      <c r="I21" s="137">
        <f t="shared" si="2"/>
        <v>87.301587301587304</v>
      </c>
    </row>
    <row r="22" spans="2:14" ht="46.5" customHeight="1" x14ac:dyDescent="0.3">
      <c r="B22" s="114" t="s">
        <v>27</v>
      </c>
      <c r="C22" s="115" t="str">
        <f>_xlfn.CONCAT(VLOOKUP(B22,urnas!$C$6:$H$150,2)," do Campus ",VLOOKUP(B22,urnas!$C$6:$H$150,4))</f>
        <v>TAEs do Campus Boituva</v>
      </c>
      <c r="D22" s="149">
        <v>8</v>
      </c>
      <c r="E22" s="149">
        <v>24</v>
      </c>
      <c r="F22" s="149">
        <v>3</v>
      </c>
      <c r="G22" s="135">
        <f t="shared" si="1"/>
        <v>35</v>
      </c>
      <c r="H22" s="136">
        <f>VLOOKUP(B22,urnas!$C$6:$H$150,6)</f>
        <v>43</v>
      </c>
      <c r="I22" s="137">
        <f t="shared" si="2"/>
        <v>81.395348837209298</v>
      </c>
    </row>
    <row r="23" spans="2:14" ht="46.5" customHeight="1" x14ac:dyDescent="0.3">
      <c r="B23" s="114" t="s">
        <v>28</v>
      </c>
      <c r="C23" s="115" t="str">
        <f>_xlfn.CONCAT(VLOOKUP(B23,urnas!$C$6:$H$150,2)," do Campus ",VLOOKUP(B23,urnas!$C$6:$H$150,4))</f>
        <v>Discentes do Campus Bragança Paulista</v>
      </c>
      <c r="D23" s="149">
        <v>130</v>
      </c>
      <c r="E23" s="149">
        <v>132</v>
      </c>
      <c r="F23" s="149">
        <v>111</v>
      </c>
      <c r="G23" s="135">
        <f t="shared" si="1"/>
        <v>373</v>
      </c>
      <c r="H23" s="136">
        <f>VLOOKUP(B23,urnas!$C$6:$H$150,6)</f>
        <v>1320</v>
      </c>
      <c r="I23" s="137">
        <f t="shared" si="2"/>
        <v>28.257575757575758</v>
      </c>
    </row>
    <row r="24" spans="2:14" ht="46.5" customHeight="1" x14ac:dyDescent="0.3">
      <c r="B24" s="114" t="s">
        <v>29</v>
      </c>
      <c r="C24" s="115" t="str">
        <f>_xlfn.CONCAT(VLOOKUP(B24,urnas!$C$6:$H$150,2)," do Campus ",VLOOKUP(B24,urnas!$C$6:$H$150,4))</f>
        <v>Docentes do Campus Bragança Paulista</v>
      </c>
      <c r="D24" s="149">
        <v>24</v>
      </c>
      <c r="E24" s="149">
        <v>36</v>
      </c>
      <c r="F24" s="149">
        <v>2</v>
      </c>
      <c r="G24" s="135">
        <f t="shared" si="1"/>
        <v>62</v>
      </c>
      <c r="H24" s="136">
        <f>VLOOKUP(B24,urnas!$C$6:$H$150,6)</f>
        <v>70</v>
      </c>
      <c r="I24" s="137">
        <f t="shared" si="2"/>
        <v>88.571428571428569</v>
      </c>
    </row>
    <row r="25" spans="2:14" ht="46.5" customHeight="1" x14ac:dyDescent="0.3">
      <c r="B25" s="114" t="s">
        <v>30</v>
      </c>
      <c r="C25" s="115" t="str">
        <f>_xlfn.CONCAT(VLOOKUP(B25,urnas!$C$6:$H$150,2)," do Campus ",VLOOKUP(B25,urnas!$C$6:$H$150,4))</f>
        <v>TAEs do Campus Bragança Paulista</v>
      </c>
      <c r="D25" s="149">
        <v>13</v>
      </c>
      <c r="E25" s="149">
        <v>25</v>
      </c>
      <c r="F25" s="149">
        <v>3</v>
      </c>
      <c r="G25" s="135">
        <f t="shared" si="1"/>
        <v>41</v>
      </c>
      <c r="H25" s="136">
        <f>VLOOKUP(B25,urnas!$C$6:$H$150,6)</f>
        <v>43</v>
      </c>
      <c r="I25" s="137">
        <f t="shared" si="2"/>
        <v>95.348837209302332</v>
      </c>
    </row>
    <row r="26" spans="2:14" ht="46.5" customHeight="1" x14ac:dyDescent="0.3">
      <c r="B26" s="114" t="s">
        <v>31</v>
      </c>
      <c r="C26" s="115" t="str">
        <f>_xlfn.CONCAT(VLOOKUP(B26,urnas!$C$6:$H$150,2)," do Campus ",VLOOKUP(B26,urnas!$C$6:$H$150,4))</f>
        <v>Discentes do Campus Campinas</v>
      </c>
      <c r="D26" s="149">
        <v>59</v>
      </c>
      <c r="E26" s="149">
        <v>37</v>
      </c>
      <c r="F26" s="149">
        <v>3</v>
      </c>
      <c r="G26" s="135">
        <f t="shared" si="1"/>
        <v>99</v>
      </c>
      <c r="H26" s="136">
        <f>VLOOKUP(B26,urnas!$C$6:$H$150,6)</f>
        <v>997</v>
      </c>
      <c r="I26" s="137">
        <f t="shared" si="2"/>
        <v>9.9297893681043128</v>
      </c>
    </row>
    <row r="27" spans="2:14" ht="46.5" customHeight="1" x14ac:dyDescent="0.3">
      <c r="B27" s="114" t="s">
        <v>32</v>
      </c>
      <c r="C27" s="115" t="str">
        <f>_xlfn.CONCAT(VLOOKUP(B27,urnas!$C$6:$H$150,2)," do Campus ",VLOOKUP(B27,urnas!$C$6:$H$150,4))</f>
        <v>Docentes do Campus Campinas</v>
      </c>
      <c r="D27" s="149">
        <v>13</v>
      </c>
      <c r="E27" s="149">
        <v>37</v>
      </c>
      <c r="F27" s="149">
        <v>5</v>
      </c>
      <c r="G27" s="135">
        <f t="shared" si="1"/>
        <v>55</v>
      </c>
      <c r="H27" s="136">
        <f>VLOOKUP(B27,urnas!$C$6:$H$150,6)</f>
        <v>69</v>
      </c>
      <c r="I27" s="137">
        <f t="shared" si="2"/>
        <v>79.710144927536234</v>
      </c>
    </row>
    <row r="28" spans="2:14" ht="46.5" customHeight="1" x14ac:dyDescent="0.3">
      <c r="B28" s="114" t="s">
        <v>33</v>
      </c>
      <c r="C28" s="115" t="str">
        <f>_xlfn.CONCAT(VLOOKUP(B28,urnas!$C$6:$H$150,2)," do Campus ",VLOOKUP(B28,urnas!$C$6:$H$150,4))</f>
        <v>TAEs do Campus Campinas</v>
      </c>
      <c r="D28" s="149">
        <v>13</v>
      </c>
      <c r="E28" s="149">
        <v>24</v>
      </c>
      <c r="F28" s="149">
        <v>1</v>
      </c>
      <c r="G28" s="135">
        <f t="shared" si="1"/>
        <v>38</v>
      </c>
      <c r="H28" s="136">
        <f>VLOOKUP(B28,urnas!$C$6:$H$150,6)</f>
        <v>42</v>
      </c>
      <c r="I28" s="137">
        <f t="shared" si="2"/>
        <v>90.476190476190482</v>
      </c>
    </row>
    <row r="29" spans="2:14" ht="46.5" customHeight="1" x14ac:dyDescent="0.3">
      <c r="B29" s="114" t="s">
        <v>34</v>
      </c>
      <c r="C29" s="115" t="str">
        <f>_xlfn.CONCAT(VLOOKUP(B29,urnas!$C$6:$H$150,2)," do Campus ",VLOOKUP(B29,urnas!$C$6:$H$150,4))</f>
        <v>Discentes do Campus Campos do Jordão</v>
      </c>
      <c r="D29" s="149">
        <v>37</v>
      </c>
      <c r="E29" s="149">
        <v>56</v>
      </c>
      <c r="F29" s="149">
        <v>13</v>
      </c>
      <c r="G29" s="135">
        <f t="shared" si="1"/>
        <v>106</v>
      </c>
      <c r="H29" s="136">
        <f>VLOOKUP(B29,urnas!$C$6:$H$150,6)</f>
        <v>650</v>
      </c>
      <c r="I29" s="137">
        <f t="shared" si="2"/>
        <v>16.307692307692307</v>
      </c>
    </row>
    <row r="30" spans="2:14" ht="46.5" customHeight="1" x14ac:dyDescent="0.3">
      <c r="B30" s="114" t="s">
        <v>35</v>
      </c>
      <c r="C30" s="115" t="str">
        <f>_xlfn.CONCAT(VLOOKUP(B30,urnas!$C$6:$H$150,2)," do Campus ",VLOOKUP(B30,urnas!$C$6:$H$150,4))</f>
        <v>Docentes do Campus Campos do Jordão</v>
      </c>
      <c r="D30" s="149">
        <v>19</v>
      </c>
      <c r="E30" s="149">
        <v>23</v>
      </c>
      <c r="F30" s="149">
        <v>2</v>
      </c>
      <c r="G30" s="135">
        <f t="shared" si="1"/>
        <v>44</v>
      </c>
      <c r="H30" s="136">
        <f>VLOOKUP(B30,urnas!$C$6:$H$150,6)</f>
        <v>56</v>
      </c>
      <c r="I30" s="137">
        <f t="shared" si="2"/>
        <v>78.571428571428569</v>
      </c>
    </row>
    <row r="31" spans="2:14" ht="46.5" customHeight="1" x14ac:dyDescent="0.3">
      <c r="B31" s="114" t="s">
        <v>36</v>
      </c>
      <c r="C31" s="115" t="str">
        <f>_xlfn.CONCAT(VLOOKUP(B31,urnas!$C$6:$H$150,2)," do Campus ",VLOOKUP(B31,urnas!$C$6:$H$150,4))</f>
        <v>TAEs do Campus Campos do Jordão</v>
      </c>
      <c r="D31" s="149">
        <v>9</v>
      </c>
      <c r="E31" s="149">
        <v>26</v>
      </c>
      <c r="F31" s="149">
        <v>1</v>
      </c>
      <c r="G31" s="135">
        <f t="shared" si="1"/>
        <v>36</v>
      </c>
      <c r="H31" s="136">
        <f>VLOOKUP(B31,urnas!$C$6:$H$150,6)</f>
        <v>43</v>
      </c>
      <c r="I31" s="137">
        <f t="shared" si="2"/>
        <v>83.720930232558146</v>
      </c>
    </row>
    <row r="32" spans="2:14" ht="46.5" customHeight="1" x14ac:dyDescent="0.3">
      <c r="B32" s="114" t="s">
        <v>37</v>
      </c>
      <c r="C32" s="115" t="str">
        <f>_xlfn.CONCAT(VLOOKUP(B32,urnas!$C$6:$H$150,2)," do Campus ",VLOOKUP(B32,urnas!$C$6:$H$150,4))</f>
        <v>Discentes do Campus Capivari</v>
      </c>
      <c r="D32" s="149">
        <v>44</v>
      </c>
      <c r="E32" s="149">
        <v>9</v>
      </c>
      <c r="F32" s="149">
        <v>1</v>
      </c>
      <c r="G32" s="135">
        <f t="shared" si="1"/>
        <v>54</v>
      </c>
      <c r="H32" s="136">
        <f>VLOOKUP(B32,urnas!$C$6:$H$150,6)</f>
        <v>930</v>
      </c>
      <c r="I32" s="137">
        <f t="shared" si="2"/>
        <v>5.806451612903226</v>
      </c>
    </row>
    <row r="33" spans="2:9" ht="46.5" customHeight="1" x14ac:dyDescent="0.3">
      <c r="B33" s="114" t="s">
        <v>38</v>
      </c>
      <c r="C33" s="115" t="str">
        <f>_xlfn.CONCAT(VLOOKUP(B33,urnas!$C$6:$H$150,2)," do Campus ",VLOOKUP(B33,urnas!$C$6:$H$150,4))</f>
        <v>Docentes do Campus Capivari</v>
      </c>
      <c r="D33" s="149">
        <v>28</v>
      </c>
      <c r="E33" s="149">
        <v>27</v>
      </c>
      <c r="F33" s="149">
        <v>3</v>
      </c>
      <c r="G33" s="135">
        <f t="shared" si="1"/>
        <v>58</v>
      </c>
      <c r="H33" s="136">
        <f>VLOOKUP(B33,urnas!$C$6:$H$150,6)</f>
        <v>68</v>
      </c>
      <c r="I33" s="137">
        <f t="shared" si="2"/>
        <v>85.294117647058826</v>
      </c>
    </row>
    <row r="34" spans="2:9" ht="46.5" customHeight="1" x14ac:dyDescent="0.3">
      <c r="B34" s="114" t="s">
        <v>39</v>
      </c>
      <c r="C34" s="115" t="str">
        <f>_xlfn.CONCAT(VLOOKUP(B34,urnas!$C$6:$H$150,2)," do Campus ",VLOOKUP(B34,urnas!$C$6:$H$150,4))</f>
        <v>TAEs do Campus Capivari</v>
      </c>
      <c r="D34" s="149">
        <v>10</v>
      </c>
      <c r="E34" s="149">
        <v>21</v>
      </c>
      <c r="F34" s="149">
        <v>0</v>
      </c>
      <c r="G34" s="135">
        <f t="shared" si="1"/>
        <v>31</v>
      </c>
      <c r="H34" s="136">
        <f>VLOOKUP(B34,urnas!$C$6:$H$150,6)</f>
        <v>41</v>
      </c>
      <c r="I34" s="137">
        <f t="shared" si="2"/>
        <v>75.609756097560975</v>
      </c>
    </row>
    <row r="35" spans="2:9" ht="46.5" customHeight="1" x14ac:dyDescent="0.3">
      <c r="B35" s="114" t="s">
        <v>40</v>
      </c>
      <c r="C35" s="115" t="str">
        <f>_xlfn.CONCAT(VLOOKUP(B35,urnas!$C$6:$H$150,2)," do Campus ",VLOOKUP(B35,urnas!$C$6:$H$150,4))</f>
        <v>Discentes do Campus Caraguatatuba</v>
      </c>
      <c r="D35" s="149">
        <v>49</v>
      </c>
      <c r="E35" s="149">
        <v>65</v>
      </c>
      <c r="F35" s="149">
        <v>9</v>
      </c>
      <c r="G35" s="135">
        <f t="shared" si="1"/>
        <v>123</v>
      </c>
      <c r="H35" s="136">
        <f>VLOOKUP(B35,urnas!$C$6:$H$150,6)</f>
        <v>1121</v>
      </c>
      <c r="I35" s="137">
        <f t="shared" si="2"/>
        <v>10.972346119536128</v>
      </c>
    </row>
    <row r="36" spans="2:9" ht="46.5" customHeight="1" x14ac:dyDescent="0.3">
      <c r="B36" s="114" t="s">
        <v>41</v>
      </c>
      <c r="C36" s="115" t="str">
        <f>_xlfn.CONCAT(VLOOKUP(B36,urnas!$C$6:$H$150,2)," do Campus ",VLOOKUP(B36,urnas!$C$6:$H$150,4))</f>
        <v>Docentes do Campus Caraguatatuba</v>
      </c>
      <c r="D36" s="149">
        <v>20</v>
      </c>
      <c r="E36" s="149">
        <v>28</v>
      </c>
      <c r="F36" s="149">
        <v>2</v>
      </c>
      <c r="G36" s="135">
        <f t="shared" si="1"/>
        <v>50</v>
      </c>
      <c r="H36" s="136">
        <f>VLOOKUP(B36,urnas!$C$6:$H$150,6)</f>
        <v>69</v>
      </c>
      <c r="I36" s="137">
        <f t="shared" si="2"/>
        <v>72.463768115942031</v>
      </c>
    </row>
    <row r="37" spans="2:9" ht="46.5" customHeight="1" x14ac:dyDescent="0.3">
      <c r="B37" s="114" t="s">
        <v>42</v>
      </c>
      <c r="C37" s="115" t="str">
        <f>_xlfn.CONCAT(VLOOKUP(B37,urnas!$C$6:$H$150,2)," do Campus ",VLOOKUP(B37,urnas!$C$6:$H$150,4))</f>
        <v>TAEs do Campus Caraguatatuba</v>
      </c>
      <c r="D37" s="149">
        <v>16</v>
      </c>
      <c r="E37" s="149">
        <v>22</v>
      </c>
      <c r="F37" s="149">
        <v>4</v>
      </c>
      <c r="G37" s="135">
        <f t="shared" si="1"/>
        <v>42</v>
      </c>
      <c r="H37" s="136">
        <f>VLOOKUP(B37,urnas!$C$6:$H$150,6)</f>
        <v>45</v>
      </c>
      <c r="I37" s="137">
        <f t="shared" si="2"/>
        <v>93.333333333333329</v>
      </c>
    </row>
    <row r="38" spans="2:9" ht="46.5" customHeight="1" x14ac:dyDescent="0.3">
      <c r="B38" s="114" t="s">
        <v>43</v>
      </c>
      <c r="C38" s="115" t="str">
        <f>_xlfn.CONCAT(VLOOKUP(B38,urnas!$C$6:$H$150,2)," do Campus ",VLOOKUP(B38,urnas!$C$6:$H$150,4))</f>
        <v>Discentes do Campus Catanduva</v>
      </c>
      <c r="D38" s="149">
        <v>41</v>
      </c>
      <c r="E38" s="149">
        <v>48</v>
      </c>
      <c r="F38" s="149">
        <v>12</v>
      </c>
      <c r="G38" s="135">
        <f t="shared" si="1"/>
        <v>101</v>
      </c>
      <c r="H38" s="136">
        <f>VLOOKUP(B38,urnas!$C$6:$H$150,6)</f>
        <v>837</v>
      </c>
      <c r="I38" s="137">
        <f t="shared" si="2"/>
        <v>12.066905615292713</v>
      </c>
    </row>
    <row r="39" spans="2:9" ht="46.5" customHeight="1" x14ac:dyDescent="0.3">
      <c r="B39" s="114" t="s">
        <v>44</v>
      </c>
      <c r="C39" s="115" t="str">
        <f>_xlfn.CONCAT(VLOOKUP(B39,urnas!$C$6:$H$150,2)," do Campus ",VLOOKUP(B39,urnas!$C$6:$H$150,4))</f>
        <v>Docentes do Campus Catanduva</v>
      </c>
      <c r="D39" s="149">
        <v>21</v>
      </c>
      <c r="E39" s="149">
        <v>36</v>
      </c>
      <c r="F39" s="149">
        <v>1</v>
      </c>
      <c r="G39" s="135">
        <f t="shared" si="1"/>
        <v>58</v>
      </c>
      <c r="H39" s="136">
        <f>VLOOKUP(B39,urnas!$C$6:$H$150,6)</f>
        <v>68</v>
      </c>
      <c r="I39" s="137">
        <f t="shared" si="2"/>
        <v>85.294117647058826</v>
      </c>
    </row>
    <row r="40" spans="2:9" ht="46.5" customHeight="1" x14ac:dyDescent="0.3">
      <c r="B40" s="114" t="s">
        <v>45</v>
      </c>
      <c r="C40" s="115" t="str">
        <f>_xlfn.CONCAT(VLOOKUP(B40,urnas!$C$6:$H$150,2)," do Campus ",VLOOKUP(B40,urnas!$C$6:$H$150,4))</f>
        <v>TAEs do Campus Catanduva</v>
      </c>
      <c r="D40" s="149">
        <v>14</v>
      </c>
      <c r="E40" s="149">
        <v>21</v>
      </c>
      <c r="F40" s="149">
        <v>2</v>
      </c>
      <c r="G40" s="135">
        <f t="shared" ref="G40:G71" si="3">SUM(D40:F40)</f>
        <v>37</v>
      </c>
      <c r="H40" s="136">
        <f>VLOOKUP(B40,urnas!$C$6:$H$150,6)</f>
        <v>43</v>
      </c>
      <c r="I40" s="137">
        <f t="shared" si="2"/>
        <v>86.04651162790698</v>
      </c>
    </row>
    <row r="41" spans="2:9" ht="46.5" customHeight="1" x14ac:dyDescent="0.3">
      <c r="B41" s="114" t="s">
        <v>46</v>
      </c>
      <c r="C41" s="115" t="str">
        <f>_xlfn.CONCAT(VLOOKUP(B41,urnas!$C$6:$H$150,2)," do Campus ",VLOOKUP(B41,urnas!$C$6:$H$150,4))</f>
        <v>Discentes do Campus Cubatão</v>
      </c>
      <c r="D41" s="149">
        <v>127</v>
      </c>
      <c r="E41" s="149">
        <v>68</v>
      </c>
      <c r="F41" s="149">
        <v>11</v>
      </c>
      <c r="G41" s="135">
        <f t="shared" si="3"/>
        <v>206</v>
      </c>
      <c r="H41" s="136">
        <f>VLOOKUP(B41,urnas!$C$6:$H$150,6)</f>
        <v>1407</v>
      </c>
      <c r="I41" s="137">
        <f t="shared" si="2"/>
        <v>14.641080312722105</v>
      </c>
    </row>
    <row r="42" spans="2:9" ht="46.5" customHeight="1" x14ac:dyDescent="0.3">
      <c r="B42" s="114" t="s">
        <v>47</v>
      </c>
      <c r="C42" s="115" t="str">
        <f>_xlfn.CONCAT(VLOOKUP(B42,urnas!$C$6:$H$150,2)," do Campus ",VLOOKUP(B42,urnas!$C$6:$H$150,4))</f>
        <v>Docentes do Campus Cubatão</v>
      </c>
      <c r="D42" s="149">
        <v>27</v>
      </c>
      <c r="E42" s="149">
        <v>44</v>
      </c>
      <c r="F42" s="149">
        <v>3</v>
      </c>
      <c r="G42" s="135">
        <f t="shared" si="3"/>
        <v>74</v>
      </c>
      <c r="H42" s="136">
        <f>VLOOKUP(B42,urnas!$C$6:$H$150,6)</f>
        <v>87</v>
      </c>
      <c r="I42" s="137">
        <f t="shared" si="2"/>
        <v>85.057471264367805</v>
      </c>
    </row>
    <row r="43" spans="2:9" ht="46.5" customHeight="1" x14ac:dyDescent="0.3">
      <c r="B43" s="114" t="s">
        <v>48</v>
      </c>
      <c r="C43" s="115" t="str">
        <f>_xlfn.CONCAT(VLOOKUP(B43,urnas!$C$6:$H$150,2)," do Campus ",VLOOKUP(B43,urnas!$C$6:$H$150,4))</f>
        <v>TAEs do Campus Cubatão</v>
      </c>
      <c r="D43" s="149">
        <v>17</v>
      </c>
      <c r="E43" s="149">
        <v>35</v>
      </c>
      <c r="F43" s="149">
        <v>1</v>
      </c>
      <c r="G43" s="135">
        <f t="shared" si="3"/>
        <v>53</v>
      </c>
      <c r="H43" s="136">
        <f>VLOOKUP(B43,urnas!$C$6:$H$150,6)</f>
        <v>64</v>
      </c>
      <c r="I43" s="137">
        <f t="shared" si="2"/>
        <v>82.8125</v>
      </c>
    </row>
    <row r="44" spans="2:9" ht="46.5" customHeight="1" x14ac:dyDescent="0.3">
      <c r="B44" s="114" t="s">
        <v>49</v>
      </c>
      <c r="C44" s="115" t="str">
        <f>_xlfn.CONCAT(VLOOKUP(B44,urnas!$C$6:$H$150,2)," do Campus ",VLOOKUP(B44,urnas!$C$6:$H$150,4))</f>
        <v>Discentes do Campus Guarulhos</v>
      </c>
      <c r="D44" s="149">
        <v>74</v>
      </c>
      <c r="E44" s="149">
        <v>154</v>
      </c>
      <c r="F44" s="149">
        <v>21</v>
      </c>
      <c r="G44" s="135">
        <f t="shared" si="3"/>
        <v>249</v>
      </c>
      <c r="H44" s="136">
        <f>VLOOKUP(B44,urnas!$C$6:$H$150,6)</f>
        <v>1283</v>
      </c>
      <c r="I44" s="137">
        <f t="shared" si="2"/>
        <v>19.407638347622761</v>
      </c>
    </row>
    <row r="45" spans="2:9" ht="46.5" customHeight="1" x14ac:dyDescent="0.3">
      <c r="B45" s="114" t="s">
        <v>50</v>
      </c>
      <c r="C45" s="115" t="str">
        <f>_xlfn.CONCAT(VLOOKUP(B45,urnas!$C$6:$H$150,2)," do Campus ",VLOOKUP(B45,urnas!$C$6:$H$150,4))</f>
        <v>Docentes do Campus Guarulhos</v>
      </c>
      <c r="D45" s="149">
        <v>22</v>
      </c>
      <c r="E45" s="149">
        <v>41</v>
      </c>
      <c r="F45" s="149">
        <v>1</v>
      </c>
      <c r="G45" s="135">
        <f t="shared" si="3"/>
        <v>64</v>
      </c>
      <c r="H45" s="136">
        <f>VLOOKUP(B45,urnas!$C$6:$H$150,6)</f>
        <v>72</v>
      </c>
      <c r="I45" s="137">
        <f t="shared" si="2"/>
        <v>88.888888888888886</v>
      </c>
    </row>
    <row r="46" spans="2:9" ht="46.5" customHeight="1" x14ac:dyDescent="0.3">
      <c r="B46" s="114" t="s">
        <v>51</v>
      </c>
      <c r="C46" s="115" t="str">
        <f>_xlfn.CONCAT(VLOOKUP(B46,urnas!$C$6:$H$150,2)," do Campus ",VLOOKUP(B46,urnas!$C$6:$H$150,4))</f>
        <v>TAEs do Campus Guarulhos</v>
      </c>
      <c r="D46" s="149">
        <v>11</v>
      </c>
      <c r="E46" s="149">
        <v>25</v>
      </c>
      <c r="F46" s="149">
        <v>1</v>
      </c>
      <c r="G46" s="135">
        <f t="shared" si="3"/>
        <v>37</v>
      </c>
      <c r="H46" s="136">
        <f>VLOOKUP(B46,urnas!$C$6:$H$150,6)</f>
        <v>43</v>
      </c>
      <c r="I46" s="137">
        <f t="shared" si="2"/>
        <v>86.04651162790698</v>
      </c>
    </row>
    <row r="47" spans="2:9" ht="46.5" customHeight="1" x14ac:dyDescent="0.3">
      <c r="B47" s="114" t="s">
        <v>52</v>
      </c>
      <c r="C47" s="115" t="str">
        <f>_xlfn.CONCAT(VLOOKUP(B47,urnas!$C$6:$H$150,2)," do Campus ",VLOOKUP(B47,urnas!$C$6:$H$150,4))</f>
        <v>Discentes do Campus Hortolândia</v>
      </c>
      <c r="D47" s="149">
        <v>46</v>
      </c>
      <c r="E47" s="149">
        <v>18</v>
      </c>
      <c r="F47" s="149">
        <v>5</v>
      </c>
      <c r="G47" s="135">
        <f t="shared" si="3"/>
        <v>69</v>
      </c>
      <c r="H47" s="136">
        <f>VLOOKUP(B47,urnas!$C$6:$H$150,6)</f>
        <v>966</v>
      </c>
      <c r="I47" s="137">
        <f t="shared" si="2"/>
        <v>7.1428571428571423</v>
      </c>
    </row>
    <row r="48" spans="2:9" ht="46.5" customHeight="1" x14ac:dyDescent="0.3">
      <c r="B48" s="114" t="s">
        <v>53</v>
      </c>
      <c r="C48" s="115" t="str">
        <f>_xlfn.CONCAT(VLOOKUP(B48,urnas!$C$6:$H$150,2)," do Campus ",VLOOKUP(B48,urnas!$C$6:$H$150,4))</f>
        <v>Docentes do Campus Hortolândia</v>
      </c>
      <c r="D48" s="149">
        <v>27</v>
      </c>
      <c r="E48" s="149">
        <v>24</v>
      </c>
      <c r="F48" s="149">
        <v>1</v>
      </c>
      <c r="G48" s="135">
        <f t="shared" si="3"/>
        <v>52</v>
      </c>
      <c r="H48" s="136">
        <f>VLOOKUP(B48,urnas!$C$6:$H$150,6)</f>
        <v>71</v>
      </c>
      <c r="I48" s="137">
        <f t="shared" si="2"/>
        <v>73.239436619718319</v>
      </c>
    </row>
    <row r="49" spans="2:9" ht="46.5" customHeight="1" x14ac:dyDescent="0.3">
      <c r="B49" s="114" t="s">
        <v>54</v>
      </c>
      <c r="C49" s="115" t="str">
        <f>_xlfn.CONCAT(VLOOKUP(B49,urnas!$C$6:$H$150,2)," do Campus ",VLOOKUP(B49,urnas!$C$6:$H$150,4))</f>
        <v>TAEs do Campus Hortolândia</v>
      </c>
      <c r="D49" s="149">
        <v>20</v>
      </c>
      <c r="E49" s="149">
        <v>14</v>
      </c>
      <c r="F49" s="149">
        <v>2</v>
      </c>
      <c r="G49" s="135">
        <f t="shared" si="3"/>
        <v>36</v>
      </c>
      <c r="H49" s="136">
        <f>VLOOKUP(B49,urnas!$C$6:$H$150,6)</f>
        <v>42</v>
      </c>
      <c r="I49" s="137">
        <f t="shared" si="2"/>
        <v>85.714285714285708</v>
      </c>
    </row>
    <row r="50" spans="2:9" ht="46.5" customHeight="1" x14ac:dyDescent="0.3">
      <c r="B50" s="114" t="s">
        <v>55</v>
      </c>
      <c r="C50" s="115" t="str">
        <f>_xlfn.CONCAT(VLOOKUP(B50,urnas!$C$6:$H$150,2)," do Campus ",VLOOKUP(B50,urnas!$C$6:$H$150,4))</f>
        <v>Discentes do Campus Itapetininga</v>
      </c>
      <c r="D50" s="149">
        <v>22</v>
      </c>
      <c r="E50" s="149">
        <v>106</v>
      </c>
      <c r="F50" s="149">
        <v>8</v>
      </c>
      <c r="G50" s="135">
        <f t="shared" si="3"/>
        <v>136</v>
      </c>
      <c r="H50" s="136">
        <f>VLOOKUP(B50,urnas!$C$6:$H$150,6)</f>
        <v>1080</v>
      </c>
      <c r="I50" s="137">
        <f t="shared" si="2"/>
        <v>12.592592592592592</v>
      </c>
    </row>
    <row r="51" spans="2:9" ht="46.5" customHeight="1" x14ac:dyDescent="0.3">
      <c r="B51" s="114" t="s">
        <v>56</v>
      </c>
      <c r="C51" s="115" t="str">
        <f>_xlfn.CONCAT(VLOOKUP(B51,urnas!$C$6:$H$150,2)," do Campus ",VLOOKUP(B51,urnas!$C$6:$H$150,4))</f>
        <v>Docentes do Campus Itapetininga</v>
      </c>
      <c r="D51" s="149">
        <v>14</v>
      </c>
      <c r="E51" s="149">
        <v>37</v>
      </c>
      <c r="F51" s="149">
        <v>5</v>
      </c>
      <c r="G51" s="135">
        <f t="shared" si="3"/>
        <v>56</v>
      </c>
      <c r="H51" s="136">
        <f>VLOOKUP(B51,urnas!$C$6:$H$150,6)</f>
        <v>68</v>
      </c>
      <c r="I51" s="137">
        <f t="shared" si="2"/>
        <v>82.35294117647058</v>
      </c>
    </row>
    <row r="52" spans="2:9" ht="46.5" customHeight="1" x14ac:dyDescent="0.3">
      <c r="B52" s="114" t="s">
        <v>57</v>
      </c>
      <c r="C52" s="115" t="str">
        <f>_xlfn.CONCAT(VLOOKUP(B52,urnas!$C$6:$H$150,2)," do Campus ",VLOOKUP(B52,urnas!$C$6:$H$150,4))</f>
        <v>TAEs do Campus Itapetininga</v>
      </c>
      <c r="D52" s="149">
        <v>14</v>
      </c>
      <c r="E52" s="149">
        <v>19</v>
      </c>
      <c r="F52" s="149">
        <v>1</v>
      </c>
      <c r="G52" s="135">
        <f t="shared" si="3"/>
        <v>34</v>
      </c>
      <c r="H52" s="136">
        <f>VLOOKUP(B52,urnas!$C$6:$H$150,6)</f>
        <v>46</v>
      </c>
      <c r="I52" s="137">
        <f t="shared" si="2"/>
        <v>73.91304347826086</v>
      </c>
    </row>
    <row r="53" spans="2:9" ht="46.5" customHeight="1" x14ac:dyDescent="0.3">
      <c r="B53" s="114" t="s">
        <v>58</v>
      </c>
      <c r="C53" s="115" t="str">
        <f>_xlfn.CONCAT(VLOOKUP(B53,urnas!$C$6:$H$150,2)," do Campus ",VLOOKUP(B53,urnas!$C$6:$H$150,4))</f>
        <v>Discentes do Campus Itaquaquecetuba</v>
      </c>
      <c r="D53" s="149">
        <v>103</v>
      </c>
      <c r="E53" s="149">
        <v>51</v>
      </c>
      <c r="F53" s="149">
        <v>7</v>
      </c>
      <c r="G53" s="135">
        <f t="shared" si="3"/>
        <v>161</v>
      </c>
      <c r="H53" s="136">
        <f>VLOOKUP(B53,urnas!$C$6:$H$150,6)</f>
        <v>751</v>
      </c>
      <c r="I53" s="137">
        <f t="shared" si="2"/>
        <v>21.438082556591212</v>
      </c>
    </row>
    <row r="54" spans="2:9" ht="46.5" customHeight="1" x14ac:dyDescent="0.3">
      <c r="B54" s="114" t="s">
        <v>59</v>
      </c>
      <c r="C54" s="115" t="str">
        <f>_xlfn.CONCAT(VLOOKUP(B54,urnas!$C$6:$H$150,2)," do Campus ",VLOOKUP(B54,urnas!$C$6:$H$150,4))</f>
        <v>Docentes do Campus Itaquaquecetuba</v>
      </c>
      <c r="D54" s="149">
        <v>21</v>
      </c>
      <c r="E54" s="149">
        <v>21</v>
      </c>
      <c r="F54" s="149">
        <v>2</v>
      </c>
      <c r="G54" s="135">
        <f t="shared" si="3"/>
        <v>44</v>
      </c>
      <c r="H54" s="136">
        <f>VLOOKUP(B54,urnas!$C$6:$H$150,6)</f>
        <v>53</v>
      </c>
      <c r="I54" s="137">
        <f t="shared" si="2"/>
        <v>83.018867924528308</v>
      </c>
    </row>
    <row r="55" spans="2:9" ht="46.5" customHeight="1" x14ac:dyDescent="0.3">
      <c r="B55" s="114" t="s">
        <v>60</v>
      </c>
      <c r="C55" s="115" t="str">
        <f>_xlfn.CONCAT(VLOOKUP(B55,urnas!$C$6:$H$150,2)," do Campus ",VLOOKUP(B55,urnas!$C$6:$H$150,4))</f>
        <v>TAEs do Campus Itaquaquecetuba</v>
      </c>
      <c r="D55" s="149">
        <v>14</v>
      </c>
      <c r="E55" s="149">
        <v>12</v>
      </c>
      <c r="F55" s="149">
        <v>1</v>
      </c>
      <c r="G55" s="135">
        <f t="shared" si="3"/>
        <v>27</v>
      </c>
      <c r="H55" s="136">
        <f>VLOOKUP(B55,urnas!$C$6:$H$150,6)</f>
        <v>32</v>
      </c>
      <c r="I55" s="137">
        <f t="shared" si="2"/>
        <v>84.375</v>
      </c>
    </row>
    <row r="56" spans="2:9" ht="46.5" customHeight="1" x14ac:dyDescent="0.3">
      <c r="B56" s="114" t="s">
        <v>61</v>
      </c>
      <c r="C56" s="115" t="str">
        <f>_xlfn.CONCAT(VLOOKUP(B56,urnas!$C$6:$H$150,2)," do Campus ",VLOOKUP(B56,urnas!$C$6:$H$150,4))</f>
        <v>Discentes do Campus Jacareí</v>
      </c>
      <c r="D56" s="149">
        <v>244</v>
      </c>
      <c r="E56" s="149">
        <v>162</v>
      </c>
      <c r="F56" s="149">
        <v>112</v>
      </c>
      <c r="G56" s="135">
        <f t="shared" si="3"/>
        <v>518</v>
      </c>
      <c r="H56" s="136">
        <f>VLOOKUP(B56,urnas!$C$6:$H$150,6)</f>
        <v>1201</v>
      </c>
      <c r="I56" s="137">
        <f t="shared" si="2"/>
        <v>43.130724396336383</v>
      </c>
    </row>
    <row r="57" spans="2:9" ht="46.5" customHeight="1" x14ac:dyDescent="0.3">
      <c r="B57" s="114" t="s">
        <v>62</v>
      </c>
      <c r="C57" s="115" t="str">
        <f>_xlfn.CONCAT(VLOOKUP(B57,urnas!$C$6:$H$150,2)," do Campus ",VLOOKUP(B57,urnas!$C$6:$H$150,4))</f>
        <v>Docentes do Campus Jacareí</v>
      </c>
      <c r="D57" s="149">
        <v>24</v>
      </c>
      <c r="E57" s="149">
        <v>36</v>
      </c>
      <c r="F57" s="149">
        <v>4</v>
      </c>
      <c r="G57" s="135">
        <f t="shared" si="3"/>
        <v>64</v>
      </c>
      <c r="H57" s="136">
        <f>VLOOKUP(B57,urnas!$C$6:$H$150,6)</f>
        <v>68</v>
      </c>
      <c r="I57" s="137">
        <f t="shared" si="2"/>
        <v>94.117647058823522</v>
      </c>
    </row>
    <row r="58" spans="2:9" ht="46.5" customHeight="1" x14ac:dyDescent="0.3">
      <c r="B58" s="114" t="s">
        <v>63</v>
      </c>
      <c r="C58" s="115" t="str">
        <f>_xlfn.CONCAT(VLOOKUP(B58,urnas!$C$6:$H$150,2)," do Campus ",VLOOKUP(B58,urnas!$C$6:$H$150,4))</f>
        <v>TAEs do Campus Jacareí</v>
      </c>
      <c r="D58" s="149">
        <v>13</v>
      </c>
      <c r="E58" s="149">
        <v>19</v>
      </c>
      <c r="F58" s="149">
        <v>5</v>
      </c>
      <c r="G58" s="135">
        <f t="shared" si="3"/>
        <v>37</v>
      </c>
      <c r="H58" s="136">
        <f>VLOOKUP(B58,urnas!$C$6:$H$150,6)</f>
        <v>42</v>
      </c>
      <c r="I58" s="137">
        <f t="shared" si="2"/>
        <v>88.095238095238088</v>
      </c>
    </row>
    <row r="59" spans="2:9" ht="46.5" customHeight="1" x14ac:dyDescent="0.3">
      <c r="B59" s="114" t="s">
        <v>64</v>
      </c>
      <c r="C59" s="115" t="str">
        <f>_xlfn.CONCAT(VLOOKUP(B59,urnas!$C$6:$H$150,2)," do Campus ",VLOOKUP(B59,urnas!$C$6:$H$150,4))</f>
        <v>Discentes do Campus Matão</v>
      </c>
      <c r="D59" s="149">
        <v>85</v>
      </c>
      <c r="E59" s="149">
        <v>62</v>
      </c>
      <c r="F59" s="149">
        <v>30</v>
      </c>
      <c r="G59" s="135">
        <f t="shared" si="3"/>
        <v>177</v>
      </c>
      <c r="H59" s="136">
        <f>VLOOKUP(B59,urnas!$C$6:$H$150,6)</f>
        <v>796</v>
      </c>
      <c r="I59" s="137">
        <f t="shared" si="2"/>
        <v>22.236180904522612</v>
      </c>
    </row>
    <row r="60" spans="2:9" ht="46.5" customHeight="1" x14ac:dyDescent="0.3">
      <c r="B60" s="114" t="s">
        <v>65</v>
      </c>
      <c r="C60" s="115" t="str">
        <f>_xlfn.CONCAT(VLOOKUP(B60,urnas!$C$6:$H$150,2)," do Campus ",VLOOKUP(B60,urnas!$C$6:$H$150,4))</f>
        <v>Docentes do Campus Matão</v>
      </c>
      <c r="D60" s="149">
        <v>23</v>
      </c>
      <c r="E60" s="149">
        <v>31</v>
      </c>
      <c r="F60" s="149">
        <v>2</v>
      </c>
      <c r="G60" s="135">
        <f t="shared" si="3"/>
        <v>56</v>
      </c>
      <c r="H60" s="136">
        <f>VLOOKUP(B60,urnas!$C$6:$H$150,6)</f>
        <v>67</v>
      </c>
      <c r="I60" s="137">
        <f t="shared" si="2"/>
        <v>83.582089552238799</v>
      </c>
    </row>
    <row r="61" spans="2:9" ht="46.5" customHeight="1" x14ac:dyDescent="0.3">
      <c r="B61" s="114" t="s">
        <v>66</v>
      </c>
      <c r="C61" s="115" t="str">
        <f>_xlfn.CONCAT(VLOOKUP(B61,urnas!$C$6:$H$150,2)," do Campus ",VLOOKUP(B61,urnas!$C$6:$H$150,4))</f>
        <v>TAEs do Campus Matão</v>
      </c>
      <c r="D61" s="149">
        <v>9</v>
      </c>
      <c r="E61" s="149">
        <v>29</v>
      </c>
      <c r="F61" s="149">
        <v>1</v>
      </c>
      <c r="G61" s="135">
        <f t="shared" si="3"/>
        <v>39</v>
      </c>
      <c r="H61" s="136">
        <f>VLOOKUP(B61,urnas!$C$6:$H$150,6)</f>
        <v>43</v>
      </c>
      <c r="I61" s="137">
        <f t="shared" si="2"/>
        <v>90.697674418604649</v>
      </c>
    </row>
    <row r="62" spans="2:9" ht="46.5" customHeight="1" x14ac:dyDescent="0.3">
      <c r="B62" s="114" t="s">
        <v>67</v>
      </c>
      <c r="C62" s="115" t="str">
        <f>_xlfn.CONCAT(VLOOKUP(B62,urnas!$C$6:$H$150,2)," do Campus ",VLOOKUP(B62,urnas!$C$6:$H$150,4))</f>
        <v>Discentes do Campus Piracicaba</v>
      </c>
      <c r="D62" s="149">
        <v>215</v>
      </c>
      <c r="E62" s="149">
        <v>63</v>
      </c>
      <c r="F62" s="149">
        <v>5</v>
      </c>
      <c r="G62" s="135">
        <f t="shared" si="3"/>
        <v>283</v>
      </c>
      <c r="H62" s="136">
        <f>VLOOKUP(B62,urnas!$C$6:$H$150,6)</f>
        <v>1243</v>
      </c>
      <c r="I62" s="137">
        <f t="shared" si="2"/>
        <v>22.767497988736928</v>
      </c>
    </row>
    <row r="63" spans="2:9" ht="46.5" customHeight="1" x14ac:dyDescent="0.3">
      <c r="B63" s="114" t="s">
        <v>68</v>
      </c>
      <c r="C63" s="115" t="str">
        <f>_xlfn.CONCAT(VLOOKUP(B63,urnas!$C$6:$H$150,2)," do Campus ",VLOOKUP(B63,urnas!$C$6:$H$150,4))</f>
        <v>Docentes do Campus Piracicaba</v>
      </c>
      <c r="D63" s="149">
        <v>34</v>
      </c>
      <c r="E63" s="149">
        <v>32</v>
      </c>
      <c r="F63" s="149">
        <v>1</v>
      </c>
      <c r="G63" s="135">
        <f t="shared" si="3"/>
        <v>67</v>
      </c>
      <c r="H63" s="136">
        <f>VLOOKUP(B63,urnas!$C$6:$H$150,6)</f>
        <v>73</v>
      </c>
      <c r="I63" s="137">
        <f t="shared" si="2"/>
        <v>91.780821917808225</v>
      </c>
    </row>
    <row r="64" spans="2:9" ht="46.5" customHeight="1" x14ac:dyDescent="0.3">
      <c r="B64" s="114" t="s">
        <v>69</v>
      </c>
      <c r="C64" s="115" t="str">
        <f>_xlfn.CONCAT(VLOOKUP(B64,urnas!$C$6:$H$150,2)," do Campus ",VLOOKUP(B64,urnas!$C$6:$H$150,4))</f>
        <v>TAEs do Campus Piracicaba</v>
      </c>
      <c r="D64" s="149">
        <v>14</v>
      </c>
      <c r="E64" s="149">
        <v>25</v>
      </c>
      <c r="F64" s="149">
        <v>2</v>
      </c>
      <c r="G64" s="135">
        <f t="shared" si="3"/>
        <v>41</v>
      </c>
      <c r="H64" s="136">
        <f>VLOOKUP(B64,urnas!$C$6:$H$150,6)</f>
        <v>46</v>
      </c>
      <c r="I64" s="137">
        <f t="shared" si="2"/>
        <v>89.130434782608688</v>
      </c>
    </row>
    <row r="65" spans="2:9" ht="46.5" customHeight="1" x14ac:dyDescent="0.3">
      <c r="B65" s="114" t="s">
        <v>70</v>
      </c>
      <c r="C65" s="115" t="str">
        <f>_xlfn.CONCAT(VLOOKUP(B65,urnas!$C$6:$H$150,2)," do Campus ",VLOOKUP(B65,urnas!$C$6:$H$150,4))</f>
        <v>Discentes do Campus São Paulo-Pirituba</v>
      </c>
      <c r="D65" s="149">
        <v>44</v>
      </c>
      <c r="E65" s="149">
        <v>103</v>
      </c>
      <c r="F65" s="149">
        <v>16</v>
      </c>
      <c r="G65" s="135">
        <f t="shared" si="3"/>
        <v>163</v>
      </c>
      <c r="H65" s="136">
        <f>VLOOKUP(B65,urnas!$C$6:$H$150,6)</f>
        <v>1301</v>
      </c>
      <c r="I65" s="137">
        <f t="shared" si="2"/>
        <v>12.528823981552653</v>
      </c>
    </row>
    <row r="66" spans="2:9" ht="46.5" customHeight="1" x14ac:dyDescent="0.3">
      <c r="B66" s="114" t="s">
        <v>71</v>
      </c>
      <c r="C66" s="115" t="str">
        <f>_xlfn.CONCAT(VLOOKUP(B66,urnas!$C$6:$H$150,2)," do Campus ",VLOOKUP(B66,urnas!$C$6:$H$150,4))</f>
        <v>Docentes do Campus São Paulo-Pirituba</v>
      </c>
      <c r="D66" s="149">
        <v>21</v>
      </c>
      <c r="E66" s="149">
        <v>26</v>
      </c>
      <c r="F66" s="149">
        <v>0</v>
      </c>
      <c r="G66" s="135">
        <f t="shared" si="3"/>
        <v>47</v>
      </c>
      <c r="H66" s="136">
        <f>VLOOKUP(B66,urnas!$C$6:$H$150,6)</f>
        <v>66</v>
      </c>
      <c r="I66" s="137">
        <f t="shared" si="2"/>
        <v>71.212121212121218</v>
      </c>
    </row>
    <row r="67" spans="2:9" ht="46.5" customHeight="1" x14ac:dyDescent="0.3">
      <c r="B67" s="114" t="s">
        <v>72</v>
      </c>
      <c r="C67" s="115" t="str">
        <f>_xlfn.CONCAT(VLOOKUP(B67,urnas!$C$6:$H$150,2)," do Campus ",VLOOKUP(B67,urnas!$C$6:$H$150,4))</f>
        <v>TAEs do Campus São Paulo-Pirituba</v>
      </c>
      <c r="D67" s="149">
        <v>15</v>
      </c>
      <c r="E67" s="149">
        <v>12</v>
      </c>
      <c r="F67" s="149">
        <v>1</v>
      </c>
      <c r="G67" s="135">
        <f t="shared" si="3"/>
        <v>28</v>
      </c>
      <c r="H67" s="136">
        <f>VLOOKUP(B67,urnas!$C$6:$H$150,6)</f>
        <v>43</v>
      </c>
      <c r="I67" s="137">
        <f t="shared" si="2"/>
        <v>65.116279069767444</v>
      </c>
    </row>
    <row r="68" spans="2:9" ht="46.5" customHeight="1" x14ac:dyDescent="0.3">
      <c r="B68" s="114" t="s">
        <v>73</v>
      </c>
      <c r="C68" s="115" t="str">
        <f>_xlfn.CONCAT(VLOOKUP(B68,urnas!$C$6:$H$150,2)," do Campus ",VLOOKUP(B68,urnas!$C$6:$H$150,4))</f>
        <v>Discentes do Campus Presidente Epitácio</v>
      </c>
      <c r="D68" s="149">
        <v>79</v>
      </c>
      <c r="E68" s="149">
        <v>135</v>
      </c>
      <c r="F68" s="149">
        <v>7</v>
      </c>
      <c r="G68" s="135">
        <f t="shared" si="3"/>
        <v>221</v>
      </c>
      <c r="H68" s="136">
        <f>VLOOKUP(B68,urnas!$C$6:$H$150,6)</f>
        <v>991</v>
      </c>
      <c r="I68" s="137">
        <f t="shared" si="2"/>
        <v>22.300706357214935</v>
      </c>
    </row>
    <row r="69" spans="2:9" ht="46.5" customHeight="1" x14ac:dyDescent="0.3">
      <c r="B69" s="114" t="s">
        <v>74</v>
      </c>
      <c r="C69" s="115" t="str">
        <f>_xlfn.CONCAT(VLOOKUP(B69,urnas!$C$6:$H$150,2)," do Campus ",VLOOKUP(B69,urnas!$C$6:$H$150,4))</f>
        <v>Docentes do Campus Presidente Epitácio</v>
      </c>
      <c r="D69" s="149">
        <v>25</v>
      </c>
      <c r="E69" s="149">
        <v>35</v>
      </c>
      <c r="F69" s="149">
        <v>1</v>
      </c>
      <c r="G69" s="135">
        <f t="shared" si="3"/>
        <v>61</v>
      </c>
      <c r="H69" s="136">
        <f>VLOOKUP(B69,urnas!$C$6:$H$150,6)</f>
        <v>67</v>
      </c>
      <c r="I69" s="137">
        <f t="shared" si="2"/>
        <v>91.044776119402982</v>
      </c>
    </row>
    <row r="70" spans="2:9" ht="46.5" customHeight="1" x14ac:dyDescent="0.3">
      <c r="B70" s="114" t="s">
        <v>75</v>
      </c>
      <c r="C70" s="115" t="str">
        <f>_xlfn.CONCAT(VLOOKUP(B70,urnas!$C$6:$H$150,2)," do Campus ",VLOOKUP(B70,urnas!$C$6:$H$150,4))</f>
        <v>TAEs do Campus Presidente Epitácio</v>
      </c>
      <c r="D70" s="149">
        <v>20</v>
      </c>
      <c r="E70" s="149">
        <v>20</v>
      </c>
      <c r="F70" s="149">
        <v>0</v>
      </c>
      <c r="G70" s="135">
        <f t="shared" si="3"/>
        <v>40</v>
      </c>
      <c r="H70" s="136">
        <f>VLOOKUP(B70,urnas!$C$6:$H$150,6)</f>
        <v>46</v>
      </c>
      <c r="I70" s="137">
        <f t="shared" si="2"/>
        <v>86.956521739130437</v>
      </c>
    </row>
    <row r="71" spans="2:9" ht="46.5" customHeight="1" x14ac:dyDescent="0.3">
      <c r="B71" s="114" t="s">
        <v>76</v>
      </c>
      <c r="C71" s="115" t="str">
        <f>_xlfn.CONCAT(VLOOKUP(B71,urnas!$C$6:$H$150,2)," do Campus ",VLOOKUP(B71,urnas!$C$6:$H$150,4))</f>
        <v>Discentes do Campus Registro</v>
      </c>
      <c r="D71" s="149">
        <v>213</v>
      </c>
      <c r="E71" s="149">
        <v>78</v>
      </c>
      <c r="F71" s="149">
        <v>109</v>
      </c>
      <c r="G71" s="135">
        <f t="shared" si="3"/>
        <v>400</v>
      </c>
      <c r="H71" s="136">
        <f>VLOOKUP(B71,urnas!$C$6:$H$150,6)</f>
        <v>819</v>
      </c>
      <c r="I71" s="137">
        <f t="shared" si="2"/>
        <v>48.840048840048837</v>
      </c>
    </row>
    <row r="72" spans="2:9" ht="46.5" customHeight="1" x14ac:dyDescent="0.3">
      <c r="B72" s="114" t="s">
        <v>77</v>
      </c>
      <c r="C72" s="115" t="str">
        <f>_xlfn.CONCAT(VLOOKUP(B72,urnas!$C$6:$H$150,2)," do Campus ",VLOOKUP(B72,urnas!$C$6:$H$150,4))</f>
        <v>Docentes do Campus Registro</v>
      </c>
      <c r="D72" s="149">
        <v>31</v>
      </c>
      <c r="E72" s="149">
        <v>31</v>
      </c>
      <c r="F72" s="149">
        <v>2</v>
      </c>
      <c r="G72" s="135">
        <f t="shared" ref="G72:G103" si="4">SUM(D72:F72)</f>
        <v>64</v>
      </c>
      <c r="H72" s="136">
        <f>VLOOKUP(B72,urnas!$C$6:$H$150,6)</f>
        <v>66</v>
      </c>
      <c r="I72" s="137">
        <f t="shared" si="2"/>
        <v>96.969696969696969</v>
      </c>
    </row>
    <row r="73" spans="2:9" ht="46.5" customHeight="1" x14ac:dyDescent="0.3">
      <c r="B73" s="114" t="s">
        <v>78</v>
      </c>
      <c r="C73" s="115" t="str">
        <f>_xlfn.CONCAT(VLOOKUP(B73,urnas!$C$6:$H$150,2)," do Campus ",VLOOKUP(B73,urnas!$C$6:$H$150,4))</f>
        <v>TAEs do Campus Registro</v>
      </c>
      <c r="D73" s="149">
        <v>20</v>
      </c>
      <c r="E73" s="149">
        <v>19</v>
      </c>
      <c r="F73" s="149">
        <v>3</v>
      </c>
      <c r="G73" s="135">
        <f t="shared" si="4"/>
        <v>42</v>
      </c>
      <c r="H73" s="136">
        <f>VLOOKUP(B73,urnas!$C$6:$H$150,6)</f>
        <v>43</v>
      </c>
      <c r="I73" s="137">
        <f t="shared" ref="I73:I122" si="5">G73/H73*100</f>
        <v>97.674418604651152</v>
      </c>
    </row>
    <row r="74" spans="2:9" ht="46.5" customHeight="1" x14ac:dyDescent="0.3">
      <c r="B74" s="114" t="s">
        <v>79</v>
      </c>
      <c r="C74" s="115" t="str">
        <f>_xlfn.CONCAT(VLOOKUP(B74,urnas!$C$6:$H$150,2)," do Campus ",VLOOKUP(B74,urnas!$C$6:$H$150,4))</f>
        <v>Discentes do Campus Salto</v>
      </c>
      <c r="D74" s="149">
        <v>71</v>
      </c>
      <c r="E74" s="149">
        <v>51</v>
      </c>
      <c r="F74" s="149">
        <v>4</v>
      </c>
      <c r="G74" s="135">
        <f t="shared" si="4"/>
        <v>126</v>
      </c>
      <c r="H74" s="136">
        <f>VLOOKUP(B74,urnas!$C$6:$H$150,6)</f>
        <v>1271</v>
      </c>
      <c r="I74" s="137">
        <f t="shared" si="5"/>
        <v>9.9134539732494105</v>
      </c>
    </row>
    <row r="75" spans="2:9" ht="46.5" customHeight="1" x14ac:dyDescent="0.3">
      <c r="B75" s="114" t="s">
        <v>80</v>
      </c>
      <c r="C75" s="115" t="str">
        <f>_xlfn.CONCAT(VLOOKUP(B75,urnas!$C$6:$H$150,2)," do Campus ",VLOOKUP(B75,urnas!$C$6:$H$150,4))</f>
        <v>Docentes do Campus Salto</v>
      </c>
      <c r="D75" s="149">
        <v>17</v>
      </c>
      <c r="E75" s="149">
        <v>32</v>
      </c>
      <c r="F75" s="149">
        <v>5</v>
      </c>
      <c r="G75" s="135">
        <f t="shared" si="4"/>
        <v>54</v>
      </c>
      <c r="H75" s="136">
        <f>VLOOKUP(B75,urnas!$C$6:$H$150,6)</f>
        <v>68</v>
      </c>
      <c r="I75" s="137">
        <f t="shared" si="5"/>
        <v>79.411764705882348</v>
      </c>
    </row>
    <row r="76" spans="2:9" ht="46.5" customHeight="1" x14ac:dyDescent="0.3">
      <c r="B76" s="114" t="s">
        <v>81</v>
      </c>
      <c r="C76" s="115" t="str">
        <f>_xlfn.CONCAT(VLOOKUP(B76,urnas!$C$6:$H$150,2)," do Campus ",VLOOKUP(B76,urnas!$C$6:$H$150,4))</f>
        <v>TAEs do Campus Salto</v>
      </c>
      <c r="D76" s="149">
        <v>17</v>
      </c>
      <c r="E76" s="149">
        <v>14</v>
      </c>
      <c r="F76" s="149">
        <v>2</v>
      </c>
      <c r="G76" s="135">
        <f t="shared" si="4"/>
        <v>33</v>
      </c>
      <c r="H76" s="136">
        <f>VLOOKUP(B76,urnas!$C$6:$H$150,6)</f>
        <v>44</v>
      </c>
      <c r="I76" s="137">
        <f t="shared" si="5"/>
        <v>75</v>
      </c>
    </row>
    <row r="77" spans="2:9" ht="46.5" customHeight="1" x14ac:dyDescent="0.3">
      <c r="B77" s="114" t="s">
        <v>82</v>
      </c>
      <c r="C77" s="115" t="str">
        <f>_xlfn.CONCAT(VLOOKUP(B77,urnas!$C$6:$H$150,2)," do Campus ",VLOOKUP(B77,urnas!$C$6:$H$150,4))</f>
        <v>Discentes do Campus São Carlos</v>
      </c>
      <c r="D77" s="149">
        <v>37</v>
      </c>
      <c r="E77" s="149">
        <v>93</v>
      </c>
      <c r="F77" s="149">
        <v>6</v>
      </c>
      <c r="G77" s="135">
        <f t="shared" si="4"/>
        <v>136</v>
      </c>
      <c r="H77" s="136">
        <f>VLOOKUP(B77,urnas!$C$6:$H$150,6)</f>
        <v>1406</v>
      </c>
      <c r="I77" s="137">
        <f t="shared" si="5"/>
        <v>9.6728307254623047</v>
      </c>
    </row>
    <row r="78" spans="2:9" ht="46.5" customHeight="1" x14ac:dyDescent="0.3">
      <c r="B78" s="114" t="s">
        <v>83</v>
      </c>
      <c r="C78" s="115" t="str">
        <f>_xlfn.CONCAT(VLOOKUP(B78,urnas!$C$6:$H$150,2)," do Campus ",VLOOKUP(B78,urnas!$C$6:$H$150,4))</f>
        <v>Docentes do Campus São Carlos</v>
      </c>
      <c r="D78" s="149">
        <v>18</v>
      </c>
      <c r="E78" s="149">
        <v>39</v>
      </c>
      <c r="F78" s="149">
        <v>4</v>
      </c>
      <c r="G78" s="135">
        <f t="shared" si="4"/>
        <v>61</v>
      </c>
      <c r="H78" s="136">
        <f>VLOOKUP(B78,urnas!$C$6:$H$150,6)</f>
        <v>68</v>
      </c>
      <c r="I78" s="137">
        <f t="shared" si="5"/>
        <v>89.705882352941174</v>
      </c>
    </row>
    <row r="79" spans="2:9" ht="46.5" customHeight="1" x14ac:dyDescent="0.3">
      <c r="B79" s="114" t="s">
        <v>84</v>
      </c>
      <c r="C79" s="115" t="str">
        <f>_xlfn.CONCAT(VLOOKUP(B79,urnas!$C$6:$H$150,2)," do Campus ",VLOOKUP(B79,urnas!$C$6:$H$150,4))</f>
        <v>TAEs do Campus São Carlos</v>
      </c>
      <c r="D79" s="149">
        <v>17</v>
      </c>
      <c r="E79" s="149">
        <v>16</v>
      </c>
      <c r="F79" s="149">
        <v>2</v>
      </c>
      <c r="G79" s="135">
        <f t="shared" si="4"/>
        <v>35</v>
      </c>
      <c r="H79" s="136">
        <f>VLOOKUP(B79,urnas!$C$6:$H$150,6)</f>
        <v>43</v>
      </c>
      <c r="I79" s="137">
        <f t="shared" si="5"/>
        <v>81.395348837209298</v>
      </c>
    </row>
    <row r="80" spans="2:9" ht="46.5" customHeight="1" x14ac:dyDescent="0.3">
      <c r="B80" s="114" t="s">
        <v>85</v>
      </c>
      <c r="C80" s="115" t="str">
        <f>_xlfn.CONCAT(VLOOKUP(B80,urnas!$C$6:$H$150,2)," do Campus ",VLOOKUP(B80,urnas!$C$6:$H$150,4))</f>
        <v>Discentes do Campus São João da Boa Vista</v>
      </c>
      <c r="D80" s="149">
        <v>33</v>
      </c>
      <c r="E80" s="149">
        <v>26</v>
      </c>
      <c r="F80" s="149">
        <v>5</v>
      </c>
      <c r="G80" s="135">
        <f t="shared" si="4"/>
        <v>64</v>
      </c>
      <c r="H80" s="136">
        <f>VLOOKUP(B80,urnas!$C$6:$H$150,6)</f>
        <v>1396</v>
      </c>
      <c r="I80" s="137">
        <f t="shared" si="5"/>
        <v>4.5845272206303722</v>
      </c>
    </row>
    <row r="81" spans="2:9" ht="46.5" customHeight="1" x14ac:dyDescent="0.3">
      <c r="B81" s="114" t="s">
        <v>86</v>
      </c>
      <c r="C81" s="115" t="str">
        <f>_xlfn.CONCAT(VLOOKUP(B81,urnas!$C$6:$H$150,2)," do Campus ",VLOOKUP(B81,urnas!$C$6:$H$150,4))</f>
        <v>Docentes do Campus São João da Boa Vista</v>
      </c>
      <c r="D81" s="149">
        <v>21</v>
      </c>
      <c r="E81" s="149">
        <v>27</v>
      </c>
      <c r="F81" s="149">
        <v>2</v>
      </c>
      <c r="G81" s="135">
        <f t="shared" si="4"/>
        <v>50</v>
      </c>
      <c r="H81" s="136">
        <f>VLOOKUP(B81,urnas!$C$6:$H$150,6)</f>
        <v>69</v>
      </c>
      <c r="I81" s="137">
        <f t="shared" si="5"/>
        <v>72.463768115942031</v>
      </c>
    </row>
    <row r="82" spans="2:9" ht="46.5" customHeight="1" x14ac:dyDescent="0.3">
      <c r="B82" s="114" t="s">
        <v>87</v>
      </c>
      <c r="C82" s="115" t="str">
        <f>_xlfn.CONCAT(VLOOKUP(B82,urnas!$C$6:$H$150,2)," do Campus ",VLOOKUP(B82,urnas!$C$6:$H$150,4))</f>
        <v>TAEs do Campus São João da Boa Vista</v>
      </c>
      <c r="D82" s="149">
        <v>10</v>
      </c>
      <c r="E82" s="149">
        <v>24</v>
      </c>
      <c r="F82" s="149">
        <v>2</v>
      </c>
      <c r="G82" s="135">
        <f t="shared" si="4"/>
        <v>36</v>
      </c>
      <c r="H82" s="136">
        <f>VLOOKUP(B82,urnas!$C$6:$H$150,6)</f>
        <v>50</v>
      </c>
      <c r="I82" s="137">
        <f t="shared" si="5"/>
        <v>72</v>
      </c>
    </row>
    <row r="83" spans="2:9" ht="46.5" customHeight="1" x14ac:dyDescent="0.3">
      <c r="B83" s="114" t="s">
        <v>88</v>
      </c>
      <c r="C83" s="115" t="str">
        <f>_xlfn.CONCAT(VLOOKUP(B83,urnas!$C$6:$H$150,2)," do Campus ",VLOOKUP(B83,urnas!$C$6:$H$150,4))</f>
        <v>Discentes do Campus São José dos Campos</v>
      </c>
      <c r="D83" s="149">
        <v>49</v>
      </c>
      <c r="E83" s="149">
        <v>19</v>
      </c>
      <c r="F83" s="149">
        <v>8</v>
      </c>
      <c r="G83" s="135">
        <f t="shared" si="4"/>
        <v>76</v>
      </c>
      <c r="H83" s="136">
        <f>VLOOKUP(B83,urnas!$C$6:$H$150,6)</f>
        <v>1317</v>
      </c>
      <c r="I83" s="137">
        <f t="shared" si="5"/>
        <v>5.7706909643128323</v>
      </c>
    </row>
    <row r="84" spans="2:9" ht="46.5" customHeight="1" x14ac:dyDescent="0.3">
      <c r="B84" s="114" t="s">
        <v>89</v>
      </c>
      <c r="C84" s="115" t="str">
        <f>_xlfn.CONCAT(VLOOKUP(B84,urnas!$C$6:$H$150,2)," do Campus ",VLOOKUP(B84,urnas!$C$6:$H$150,4))</f>
        <v>Docentes do Campus São José dos Campos</v>
      </c>
      <c r="D84" s="149">
        <v>25</v>
      </c>
      <c r="E84" s="149">
        <v>19</v>
      </c>
      <c r="F84" s="149">
        <v>2</v>
      </c>
      <c r="G84" s="135">
        <f t="shared" si="4"/>
        <v>46</v>
      </c>
      <c r="H84" s="136">
        <f>VLOOKUP(B84,urnas!$C$6:$H$150,6)</f>
        <v>69</v>
      </c>
      <c r="I84" s="137">
        <f t="shared" si="5"/>
        <v>66.666666666666657</v>
      </c>
    </row>
    <row r="85" spans="2:9" ht="46.5" customHeight="1" x14ac:dyDescent="0.3">
      <c r="B85" s="114" t="s">
        <v>90</v>
      </c>
      <c r="C85" s="115" t="str">
        <f>_xlfn.CONCAT(VLOOKUP(B85,urnas!$C$6:$H$150,2)," do Campus ",VLOOKUP(B85,urnas!$C$6:$H$150,4))</f>
        <v>TAEs do Campus São José dos Campos</v>
      </c>
      <c r="D85" s="149">
        <v>16</v>
      </c>
      <c r="E85" s="149">
        <v>11</v>
      </c>
      <c r="F85" s="149">
        <v>3</v>
      </c>
      <c r="G85" s="135">
        <f t="shared" si="4"/>
        <v>30</v>
      </c>
      <c r="H85" s="136">
        <f>VLOOKUP(B85,urnas!$C$6:$H$150,6)</f>
        <v>42</v>
      </c>
      <c r="I85" s="137">
        <f t="shared" si="5"/>
        <v>71.428571428571431</v>
      </c>
    </row>
    <row r="86" spans="2:9" ht="46.5" customHeight="1" x14ac:dyDescent="0.3">
      <c r="B86" s="114" t="s">
        <v>91</v>
      </c>
      <c r="C86" s="115" t="str">
        <f>_xlfn.CONCAT(VLOOKUP(B86,urnas!$C$6:$H$150,2)," do Campus ",VLOOKUP(B86,urnas!$C$6:$H$150,4))</f>
        <v>Discentes do Campus São José do Rio Preto</v>
      </c>
      <c r="D86" s="149">
        <v>3</v>
      </c>
      <c r="E86" s="149">
        <v>19</v>
      </c>
      <c r="F86" s="149">
        <v>2</v>
      </c>
      <c r="G86" s="135">
        <f t="shared" si="4"/>
        <v>24</v>
      </c>
      <c r="H86" s="136">
        <f>VLOOKUP(B86,urnas!$C$6:$H$150,6)</f>
        <v>116</v>
      </c>
      <c r="I86" s="137">
        <f t="shared" si="5"/>
        <v>20.689655172413794</v>
      </c>
    </row>
    <row r="87" spans="2:9" ht="46.5" customHeight="1" x14ac:dyDescent="0.3">
      <c r="B87" s="114" t="s">
        <v>92</v>
      </c>
      <c r="C87" s="115" t="str">
        <f>_xlfn.CONCAT(VLOOKUP(B87,urnas!$C$6:$H$150,2)," do Campus ",VLOOKUP(B87,urnas!$C$6:$H$150,4))</f>
        <v>Docentes do Campus São José do Rio Preto</v>
      </c>
      <c r="D87" s="149">
        <v>6</v>
      </c>
      <c r="E87" s="149">
        <v>11</v>
      </c>
      <c r="F87" s="149">
        <v>0</v>
      </c>
      <c r="G87" s="135">
        <f t="shared" si="4"/>
        <v>17</v>
      </c>
      <c r="H87" s="136">
        <f>VLOOKUP(B87,urnas!$C$6:$H$150,6)</f>
        <v>18</v>
      </c>
      <c r="I87" s="137">
        <f t="shared" si="5"/>
        <v>94.444444444444443</v>
      </c>
    </row>
    <row r="88" spans="2:9" ht="46.5" customHeight="1" x14ac:dyDescent="0.3">
      <c r="B88" s="114" t="s">
        <v>93</v>
      </c>
      <c r="C88" s="115" t="str">
        <f>_xlfn.CONCAT(VLOOKUP(B88,urnas!$C$6:$H$150,2)," do Campus ",VLOOKUP(B88,urnas!$C$6:$H$150,4))</f>
        <v>TAEs do Campus São José do Rio Preto</v>
      </c>
      <c r="D88" s="149">
        <v>3</v>
      </c>
      <c r="E88" s="149">
        <v>9</v>
      </c>
      <c r="F88" s="149">
        <v>2</v>
      </c>
      <c r="G88" s="135">
        <f t="shared" si="4"/>
        <v>14</v>
      </c>
      <c r="H88" s="136">
        <f>VLOOKUP(B88,urnas!$C$6:$H$150,6)</f>
        <v>17</v>
      </c>
      <c r="I88" s="137">
        <f t="shared" si="5"/>
        <v>82.35294117647058</v>
      </c>
    </row>
    <row r="89" spans="2:9" ht="46.5" customHeight="1" x14ac:dyDescent="0.3">
      <c r="B89" s="114" t="s">
        <v>94</v>
      </c>
      <c r="C89" s="115" t="str">
        <f>_xlfn.CONCAT(VLOOKUP(B89,urnas!$C$6:$H$150,2)," do Campus ",VLOOKUP(B89,urnas!$C$6:$H$150,4))</f>
        <v>Discentes do Campus São Paulo</v>
      </c>
      <c r="D89" s="149">
        <v>774</v>
      </c>
      <c r="E89" s="149">
        <v>489</v>
      </c>
      <c r="F89" s="149">
        <v>176</v>
      </c>
      <c r="G89" s="135">
        <f t="shared" si="4"/>
        <v>1439</v>
      </c>
      <c r="H89" s="136">
        <f>VLOOKUP(B89,urnas!$C$6:$H$150,6)</f>
        <v>6031</v>
      </c>
      <c r="I89" s="137">
        <f t="shared" si="5"/>
        <v>23.8600563753938</v>
      </c>
    </row>
    <row r="90" spans="2:9" ht="46.5" customHeight="1" x14ac:dyDescent="0.3">
      <c r="B90" s="114" t="s">
        <v>95</v>
      </c>
      <c r="C90" s="115" t="str">
        <f>_xlfn.CONCAT(VLOOKUP(B90,urnas!$C$6:$H$150,2)," do Campus ",VLOOKUP(B90,urnas!$C$6:$H$150,4))</f>
        <v>Docentes do Campus São Paulo</v>
      </c>
      <c r="D90" s="149">
        <v>130</v>
      </c>
      <c r="E90" s="149">
        <v>142</v>
      </c>
      <c r="F90" s="149">
        <v>18</v>
      </c>
      <c r="G90" s="135">
        <f t="shared" si="4"/>
        <v>290</v>
      </c>
      <c r="H90" s="136">
        <f>VLOOKUP(B90,urnas!$C$6:$H$150,6)</f>
        <v>327</v>
      </c>
      <c r="I90" s="137">
        <f t="shared" si="5"/>
        <v>88.685015290519871</v>
      </c>
    </row>
    <row r="91" spans="2:9" ht="46.5" customHeight="1" x14ac:dyDescent="0.3">
      <c r="B91" s="114" t="s">
        <v>96</v>
      </c>
      <c r="C91" s="115" t="str">
        <f>_xlfn.CONCAT(VLOOKUP(B91,urnas!$C$6:$H$150,2)," do Campus ",VLOOKUP(B91,urnas!$C$6:$H$150,4))</f>
        <v>TAEs do Campus São Paulo</v>
      </c>
      <c r="D91" s="149">
        <v>65</v>
      </c>
      <c r="E91" s="149">
        <v>95</v>
      </c>
      <c r="F91" s="149">
        <v>5</v>
      </c>
      <c r="G91" s="135">
        <f t="shared" si="4"/>
        <v>165</v>
      </c>
      <c r="H91" s="136">
        <f>VLOOKUP(B91,urnas!$C$6:$H$150,6)</f>
        <v>181</v>
      </c>
      <c r="I91" s="137">
        <f t="shared" si="5"/>
        <v>91.160220994475139</v>
      </c>
    </row>
    <row r="92" spans="2:9" ht="46.5" customHeight="1" x14ac:dyDescent="0.3">
      <c r="B92" s="114" t="s">
        <v>97</v>
      </c>
      <c r="C92" s="115" t="str">
        <f>_xlfn.CONCAT(VLOOKUP(B92,urnas!$C$6:$H$150,2)," do Campus ",VLOOKUP(B92,urnas!$C$6:$H$150,4))</f>
        <v>Discentes do Campus São Roque</v>
      </c>
      <c r="D92" s="149">
        <v>37</v>
      </c>
      <c r="E92" s="149">
        <v>90</v>
      </c>
      <c r="F92" s="149">
        <v>8</v>
      </c>
      <c r="G92" s="135">
        <f t="shared" si="4"/>
        <v>135</v>
      </c>
      <c r="H92" s="136">
        <f>VLOOKUP(B92,urnas!$C$6:$H$150,6)</f>
        <v>929</v>
      </c>
      <c r="I92" s="137">
        <f t="shared" si="5"/>
        <v>14.531754574811625</v>
      </c>
    </row>
    <row r="93" spans="2:9" ht="46.5" customHeight="1" x14ac:dyDescent="0.3">
      <c r="B93" s="114" t="s">
        <v>98</v>
      </c>
      <c r="C93" s="115" t="str">
        <f>_xlfn.CONCAT(VLOOKUP(B93,urnas!$C$6:$H$150,2)," do Campus ",VLOOKUP(B93,urnas!$C$6:$H$150,4))</f>
        <v>Docentes do Campus São Roque</v>
      </c>
      <c r="D93" s="149">
        <v>21</v>
      </c>
      <c r="E93" s="149">
        <v>35</v>
      </c>
      <c r="F93" s="149">
        <v>0</v>
      </c>
      <c r="G93" s="135">
        <f t="shared" si="4"/>
        <v>56</v>
      </c>
      <c r="H93" s="136">
        <f>VLOOKUP(B93,urnas!$C$6:$H$150,6)</f>
        <v>67</v>
      </c>
      <c r="I93" s="137">
        <f t="shared" si="5"/>
        <v>83.582089552238799</v>
      </c>
    </row>
    <row r="94" spans="2:9" ht="46.5" customHeight="1" x14ac:dyDescent="0.3">
      <c r="B94" s="114" t="s">
        <v>99</v>
      </c>
      <c r="C94" s="115" t="str">
        <f>_xlfn.CONCAT(VLOOKUP(B94,urnas!$C$6:$H$150,2)," do Campus ",VLOOKUP(B94,urnas!$C$6:$H$150,4))</f>
        <v>TAEs do Campus São Roque</v>
      </c>
      <c r="D94" s="149">
        <v>7</v>
      </c>
      <c r="E94" s="149">
        <v>25</v>
      </c>
      <c r="F94" s="149">
        <v>2</v>
      </c>
      <c r="G94" s="135">
        <f t="shared" si="4"/>
        <v>34</v>
      </c>
      <c r="H94" s="136">
        <f>VLOOKUP(B94,urnas!$C$6:$H$150,6)</f>
        <v>41</v>
      </c>
      <c r="I94" s="137">
        <f t="shared" si="5"/>
        <v>82.926829268292678</v>
      </c>
    </row>
    <row r="95" spans="2:9" ht="46.5" customHeight="1" x14ac:dyDescent="0.3">
      <c r="B95" s="114" t="s">
        <v>100</v>
      </c>
      <c r="C95" s="115" t="str">
        <f>_xlfn.CONCAT(VLOOKUP(B95,urnas!$C$6:$H$150,2)," do Campus ",VLOOKUP(B95,urnas!$C$6:$H$150,4))</f>
        <v>Discentes do Campus Sertãozinho</v>
      </c>
      <c r="D95" s="149">
        <v>119</v>
      </c>
      <c r="E95" s="149">
        <v>71</v>
      </c>
      <c r="F95" s="149">
        <v>15</v>
      </c>
      <c r="G95" s="135">
        <f t="shared" si="4"/>
        <v>205</v>
      </c>
      <c r="H95" s="136">
        <f>VLOOKUP(B95,urnas!$C$6:$H$150,6)</f>
        <v>1406</v>
      </c>
      <c r="I95" s="137">
        <f t="shared" si="5"/>
        <v>14.580369843527738</v>
      </c>
    </row>
    <row r="96" spans="2:9" ht="46.5" customHeight="1" x14ac:dyDescent="0.3">
      <c r="B96" s="114" t="s">
        <v>101</v>
      </c>
      <c r="C96" s="115" t="str">
        <f>_xlfn.CONCAT(VLOOKUP(B96,urnas!$C$6:$H$150,2)," do Campus ",VLOOKUP(B96,urnas!$C$6:$H$150,4))</f>
        <v>Docentes do Campus Sertãozinho</v>
      </c>
      <c r="D96" s="149">
        <v>42</v>
      </c>
      <c r="E96" s="149">
        <v>39</v>
      </c>
      <c r="F96" s="149">
        <v>1</v>
      </c>
      <c r="G96" s="135">
        <f t="shared" si="4"/>
        <v>82</v>
      </c>
      <c r="H96" s="136">
        <f>VLOOKUP(B96,urnas!$C$6:$H$150,6)</f>
        <v>94</v>
      </c>
      <c r="I96" s="137">
        <f t="shared" si="5"/>
        <v>87.2340425531915</v>
      </c>
    </row>
    <row r="97" spans="2:9" ht="46.5" customHeight="1" x14ac:dyDescent="0.3">
      <c r="B97" s="114" t="s">
        <v>102</v>
      </c>
      <c r="C97" s="115" t="str">
        <f>_xlfn.CONCAT(VLOOKUP(B97,urnas!$C$6:$H$150,2)," do Campus ",VLOOKUP(B97,urnas!$C$6:$H$150,4))</f>
        <v>TAEs do Campus Sertãozinho</v>
      </c>
      <c r="D97" s="149">
        <v>25</v>
      </c>
      <c r="E97" s="149">
        <v>31</v>
      </c>
      <c r="F97" s="149">
        <v>0</v>
      </c>
      <c r="G97" s="135">
        <f t="shared" si="4"/>
        <v>56</v>
      </c>
      <c r="H97" s="136">
        <f>VLOOKUP(B97,urnas!$C$6:$H$150,6)</f>
        <v>60</v>
      </c>
      <c r="I97" s="137">
        <f t="shared" si="5"/>
        <v>93.333333333333329</v>
      </c>
    </row>
    <row r="98" spans="2:9" ht="46.5" customHeight="1" x14ac:dyDescent="0.3">
      <c r="B98" s="114" t="s">
        <v>103</v>
      </c>
      <c r="C98" s="115" t="str">
        <f>_xlfn.CONCAT(VLOOKUP(B98,urnas!$C$6:$H$150,2)," do Campus ",VLOOKUP(B98,urnas!$C$6:$H$150,4))</f>
        <v>Discentes do Campus Sorocaba</v>
      </c>
      <c r="D98" s="149">
        <v>66</v>
      </c>
      <c r="E98" s="149">
        <v>38</v>
      </c>
      <c r="F98" s="149">
        <v>6</v>
      </c>
      <c r="G98" s="135">
        <f t="shared" si="4"/>
        <v>110</v>
      </c>
      <c r="H98" s="136">
        <f>VLOOKUP(B98,urnas!$C$6:$H$150,6)</f>
        <v>812</v>
      </c>
      <c r="I98" s="137">
        <f t="shared" si="5"/>
        <v>13.546798029556651</v>
      </c>
    </row>
    <row r="99" spans="2:9" ht="46.5" customHeight="1" x14ac:dyDescent="0.3">
      <c r="B99" s="114" t="s">
        <v>104</v>
      </c>
      <c r="C99" s="115" t="str">
        <f>_xlfn.CONCAT(VLOOKUP(B99,urnas!$C$6:$H$150,2)," do Campus ",VLOOKUP(B99,urnas!$C$6:$H$150,4))</f>
        <v>Docentes do Campus Sorocaba</v>
      </c>
      <c r="D99" s="149">
        <v>25</v>
      </c>
      <c r="E99" s="149">
        <v>20</v>
      </c>
      <c r="F99" s="149">
        <v>0</v>
      </c>
      <c r="G99" s="135">
        <f t="shared" si="4"/>
        <v>45</v>
      </c>
      <c r="H99" s="136">
        <f>VLOOKUP(B99,urnas!$C$6:$H$150,6)</f>
        <v>56</v>
      </c>
      <c r="I99" s="137">
        <f t="shared" si="5"/>
        <v>80.357142857142861</v>
      </c>
    </row>
    <row r="100" spans="2:9" ht="46.5" customHeight="1" x14ac:dyDescent="0.3">
      <c r="B100" s="114" t="s">
        <v>105</v>
      </c>
      <c r="C100" s="115" t="str">
        <f>_xlfn.CONCAT(VLOOKUP(B100,urnas!$C$6:$H$150,2)," do Campus ",VLOOKUP(B100,urnas!$C$6:$H$150,4))</f>
        <v>TAEs do Campus Sorocaba</v>
      </c>
      <c r="D100" s="149">
        <v>6</v>
      </c>
      <c r="E100" s="149">
        <v>29</v>
      </c>
      <c r="F100" s="149">
        <v>1</v>
      </c>
      <c r="G100" s="135">
        <f t="shared" si="4"/>
        <v>36</v>
      </c>
      <c r="H100" s="136">
        <f>VLOOKUP(B100,urnas!$C$6:$H$150,6)</f>
        <v>42</v>
      </c>
      <c r="I100" s="137">
        <f t="shared" si="5"/>
        <v>85.714285714285708</v>
      </c>
    </row>
    <row r="101" spans="2:9" ht="46.5" customHeight="1" x14ac:dyDescent="0.3">
      <c r="B101" s="114" t="s">
        <v>106</v>
      </c>
      <c r="C101" s="115" t="str">
        <f>_xlfn.CONCAT(VLOOKUP(B101,urnas!$C$6:$H$150,2)," do Campus ",VLOOKUP(B101,urnas!$C$6:$H$150,4))</f>
        <v>Discentes do Campus Suzano</v>
      </c>
      <c r="D101" s="149">
        <v>41</v>
      </c>
      <c r="E101" s="149">
        <v>102</v>
      </c>
      <c r="F101" s="149">
        <v>13</v>
      </c>
      <c r="G101" s="135">
        <f t="shared" si="4"/>
        <v>156</v>
      </c>
      <c r="H101" s="136">
        <f>VLOOKUP(B101,urnas!$C$6:$H$150,6)</f>
        <v>1303</v>
      </c>
      <c r="I101" s="137">
        <f t="shared" si="5"/>
        <v>11.97237145049885</v>
      </c>
    </row>
    <row r="102" spans="2:9" ht="46.5" customHeight="1" x14ac:dyDescent="0.3">
      <c r="B102" s="114" t="s">
        <v>107</v>
      </c>
      <c r="C102" s="115" t="str">
        <f>_xlfn.CONCAT(VLOOKUP(B102,urnas!$C$6:$H$150,2)," do Campus ",VLOOKUP(B102,urnas!$C$6:$H$150,4))</f>
        <v>Docentes do Campus Suzano</v>
      </c>
      <c r="D102" s="149">
        <v>18</v>
      </c>
      <c r="E102" s="149">
        <v>27</v>
      </c>
      <c r="F102" s="149">
        <v>3</v>
      </c>
      <c r="G102" s="135">
        <f t="shared" si="4"/>
        <v>48</v>
      </c>
      <c r="H102" s="136">
        <f>VLOOKUP(B102,urnas!$C$6:$H$150,6)</f>
        <v>67</v>
      </c>
      <c r="I102" s="137">
        <f t="shared" si="5"/>
        <v>71.641791044776113</v>
      </c>
    </row>
    <row r="103" spans="2:9" ht="46.5" customHeight="1" x14ac:dyDescent="0.3">
      <c r="B103" s="114" t="s">
        <v>108</v>
      </c>
      <c r="C103" s="115" t="str">
        <f>_xlfn.CONCAT(VLOOKUP(B103,urnas!$C$6:$H$150,2)," do Campus ",VLOOKUP(B103,urnas!$C$6:$H$150,4))</f>
        <v>TAEs do Campus Suzano</v>
      </c>
      <c r="D103" s="149">
        <v>12</v>
      </c>
      <c r="E103" s="149">
        <v>20</v>
      </c>
      <c r="F103" s="149">
        <v>1</v>
      </c>
      <c r="G103" s="135">
        <f t="shared" si="4"/>
        <v>33</v>
      </c>
      <c r="H103" s="136">
        <f>VLOOKUP(B103,urnas!$C$6:$H$150,6)</f>
        <v>43</v>
      </c>
      <c r="I103" s="137">
        <f t="shared" si="5"/>
        <v>76.744186046511629</v>
      </c>
    </row>
    <row r="104" spans="2:9" ht="46.5" customHeight="1" x14ac:dyDescent="0.3">
      <c r="B104" s="114" t="s">
        <v>109</v>
      </c>
      <c r="C104" s="115" t="str">
        <f>_xlfn.CONCAT(VLOOKUP(B104,urnas!$C$6:$H$150,2)," do Campus ",VLOOKUP(B104,urnas!$C$6:$H$150,4))</f>
        <v>Discentes do Campus Votuporanga</v>
      </c>
      <c r="D104" s="149">
        <v>26</v>
      </c>
      <c r="E104" s="149">
        <v>36</v>
      </c>
      <c r="F104" s="149">
        <v>8</v>
      </c>
      <c r="G104" s="135">
        <f t="shared" ref="G104:G122" si="6">SUM(D104:F104)</f>
        <v>70</v>
      </c>
      <c r="H104" s="136">
        <f>VLOOKUP(B104,urnas!$C$6:$H$150,6)</f>
        <v>876</v>
      </c>
      <c r="I104" s="137">
        <f t="shared" si="5"/>
        <v>7.9908675799086755</v>
      </c>
    </row>
    <row r="105" spans="2:9" ht="46.5" customHeight="1" x14ac:dyDescent="0.3">
      <c r="B105" s="114" t="s">
        <v>110</v>
      </c>
      <c r="C105" s="115" t="str">
        <f>_xlfn.CONCAT(VLOOKUP(B105,urnas!$C$6:$H$150,2)," do Campus ",VLOOKUP(B105,urnas!$C$6:$H$150,4))</f>
        <v>Docentes do Campus Votuporanga</v>
      </c>
      <c r="D105" s="149">
        <v>35</v>
      </c>
      <c r="E105" s="149">
        <v>24</v>
      </c>
      <c r="F105" s="149">
        <v>2</v>
      </c>
      <c r="G105" s="135">
        <f t="shared" si="6"/>
        <v>61</v>
      </c>
      <c r="H105" s="136">
        <f>VLOOKUP(B105,urnas!$C$6:$H$150,6)</f>
        <v>71</v>
      </c>
      <c r="I105" s="137">
        <f t="shared" si="5"/>
        <v>85.91549295774648</v>
      </c>
    </row>
    <row r="106" spans="2:9" ht="46.5" customHeight="1" x14ac:dyDescent="0.3">
      <c r="B106" s="114" t="s">
        <v>111</v>
      </c>
      <c r="C106" s="115" t="str">
        <f>_xlfn.CONCAT(VLOOKUP(B106,urnas!$C$6:$H$150,2)," do Campus ",VLOOKUP(B106,urnas!$C$6:$H$150,4))</f>
        <v>TAEs do Campus Votuporanga</v>
      </c>
      <c r="D106" s="149">
        <v>16</v>
      </c>
      <c r="E106" s="149">
        <v>12</v>
      </c>
      <c r="F106" s="149">
        <v>2</v>
      </c>
      <c r="G106" s="135">
        <f t="shared" si="6"/>
        <v>30</v>
      </c>
      <c r="H106" s="136">
        <f>VLOOKUP(B106,urnas!$C$6:$H$150,6)</f>
        <v>44</v>
      </c>
      <c r="I106" s="137">
        <f t="shared" si="5"/>
        <v>68.181818181818173</v>
      </c>
    </row>
    <row r="107" spans="2:9" ht="46.5" customHeight="1" x14ac:dyDescent="0.3">
      <c r="B107" s="114" t="s">
        <v>112</v>
      </c>
      <c r="C107" s="115" t="str">
        <f>_xlfn.CONCAT(VLOOKUP(B107,urnas!$C$6:$H$150,2)," do Campus ",VLOOKUP(B107,urnas!$C$6:$H$150,4))</f>
        <v>Discentes do Campus Ilha Solteira</v>
      </c>
      <c r="D107" s="149">
        <v>26</v>
      </c>
      <c r="E107" s="149">
        <v>11</v>
      </c>
      <c r="F107" s="149">
        <v>0</v>
      </c>
      <c r="G107" s="135">
        <f t="shared" si="6"/>
        <v>37</v>
      </c>
      <c r="H107" s="136">
        <f>VLOOKUP(B107,urnas!$C$6:$H$150,6)</f>
        <v>215</v>
      </c>
      <c r="I107" s="137">
        <f t="shared" si="5"/>
        <v>17.209302325581397</v>
      </c>
    </row>
    <row r="108" spans="2:9" ht="46.5" customHeight="1" x14ac:dyDescent="0.3">
      <c r="B108" s="114" t="s">
        <v>113</v>
      </c>
      <c r="C108" s="115" t="str">
        <f>_xlfn.CONCAT(VLOOKUP(B108,urnas!$C$6:$H$150,2)," do Campus ",VLOOKUP(B108,urnas!$C$6:$H$150,4))</f>
        <v>Docentes do Campus Ilha Solteira</v>
      </c>
      <c r="D108" s="149">
        <v>5</v>
      </c>
      <c r="E108" s="149">
        <v>12</v>
      </c>
      <c r="F108" s="149">
        <v>0</v>
      </c>
      <c r="G108" s="135">
        <f t="shared" si="6"/>
        <v>17</v>
      </c>
      <c r="H108" s="136">
        <f>VLOOKUP(B108,urnas!$C$6:$H$150,6)</f>
        <v>21</v>
      </c>
      <c r="I108" s="137">
        <f t="shared" si="5"/>
        <v>80.952380952380949</v>
      </c>
    </row>
    <row r="109" spans="2:9" ht="46.5" customHeight="1" x14ac:dyDescent="0.3">
      <c r="B109" s="114" t="s">
        <v>114</v>
      </c>
      <c r="C109" s="115" t="str">
        <f>_xlfn.CONCAT(VLOOKUP(B109,urnas!$C$6:$H$150,2)," do Campus ",VLOOKUP(B109,urnas!$C$6:$H$150,4))</f>
        <v>TAEs do Campus Ilha Solteira</v>
      </c>
      <c r="D109" s="149">
        <v>4</v>
      </c>
      <c r="E109" s="149">
        <v>7</v>
      </c>
      <c r="F109" s="149">
        <v>0</v>
      </c>
      <c r="G109" s="135">
        <f t="shared" si="6"/>
        <v>11</v>
      </c>
      <c r="H109" s="136">
        <f>VLOOKUP(B109,urnas!$C$6:$H$150,6)</f>
        <v>12</v>
      </c>
      <c r="I109" s="137">
        <f t="shared" si="5"/>
        <v>91.666666666666657</v>
      </c>
    </row>
    <row r="110" spans="2:9" ht="46.5" customHeight="1" x14ac:dyDescent="0.3">
      <c r="B110" s="114" t="s">
        <v>115</v>
      </c>
      <c r="C110" s="115" t="str">
        <f>_xlfn.CONCAT(VLOOKUP(B110,urnas!$C$6:$H$150,2)," do Campus ",VLOOKUP(B110,urnas!$C$6:$H$150,4))</f>
        <v>Discentes do Campus Jundiaí</v>
      </c>
      <c r="D110" s="149">
        <v>79</v>
      </c>
      <c r="E110" s="149">
        <v>13</v>
      </c>
      <c r="F110" s="149">
        <v>4</v>
      </c>
      <c r="G110" s="135">
        <f t="shared" si="6"/>
        <v>96</v>
      </c>
      <c r="H110" s="136">
        <f>VLOOKUP(B110,urnas!$C$6:$H$150,6)</f>
        <v>299</v>
      </c>
      <c r="I110" s="137">
        <f t="shared" si="5"/>
        <v>32.107023411371237</v>
      </c>
    </row>
    <row r="111" spans="2:9" ht="46.5" customHeight="1" x14ac:dyDescent="0.3">
      <c r="B111" s="114" t="s">
        <v>116</v>
      </c>
      <c r="C111" s="115" t="str">
        <f>_xlfn.CONCAT(VLOOKUP(B111,urnas!$C$6:$H$150,2)," do Campus ",VLOOKUP(B111,urnas!$C$6:$H$150,4))</f>
        <v>Docentes do Campus Jundiaí</v>
      </c>
      <c r="D111" s="149">
        <v>6</v>
      </c>
      <c r="E111" s="149">
        <v>9</v>
      </c>
      <c r="F111" s="149">
        <v>0</v>
      </c>
      <c r="G111" s="135">
        <f t="shared" si="6"/>
        <v>15</v>
      </c>
      <c r="H111" s="136">
        <f>VLOOKUP(B111,urnas!$C$6:$H$150,6)</f>
        <v>24</v>
      </c>
      <c r="I111" s="137">
        <f t="shared" si="5"/>
        <v>62.5</v>
      </c>
    </row>
    <row r="112" spans="2:9" ht="46.5" customHeight="1" x14ac:dyDescent="0.3">
      <c r="B112" s="114" t="s">
        <v>117</v>
      </c>
      <c r="C112" s="115" t="str">
        <f>_xlfn.CONCAT(VLOOKUP(B112,urnas!$C$6:$H$150,2)," do Campus ",VLOOKUP(B112,urnas!$C$6:$H$150,4))</f>
        <v>TAEs do Campus Jundiaí</v>
      </c>
      <c r="D112" s="149">
        <v>10</v>
      </c>
      <c r="E112" s="149">
        <v>1</v>
      </c>
      <c r="F112" s="149">
        <v>0</v>
      </c>
      <c r="G112" s="135">
        <f t="shared" si="6"/>
        <v>11</v>
      </c>
      <c r="H112" s="136">
        <f>VLOOKUP(B112,urnas!$C$6:$H$150,6)</f>
        <v>15</v>
      </c>
      <c r="I112" s="137">
        <f t="shared" si="5"/>
        <v>73.333333333333329</v>
      </c>
    </row>
    <row r="113" spans="2:9" ht="46.5" customHeight="1" x14ac:dyDescent="0.3">
      <c r="B113" s="114" t="s">
        <v>118</v>
      </c>
      <c r="C113" s="115" t="str">
        <f>_xlfn.CONCAT(VLOOKUP(B113,urnas!$C$6:$H$150,2)," do Campus ",VLOOKUP(B113,urnas!$C$6:$H$150,4))</f>
        <v>Discentes do Campus São Miguel Paulista</v>
      </c>
      <c r="D113" s="149">
        <v>57</v>
      </c>
      <c r="E113" s="149">
        <v>4</v>
      </c>
      <c r="F113" s="149">
        <v>6</v>
      </c>
      <c r="G113" s="135">
        <f t="shared" si="6"/>
        <v>67</v>
      </c>
      <c r="H113" s="136">
        <f>VLOOKUP(B113,urnas!$C$6:$H$150,6)</f>
        <v>299</v>
      </c>
      <c r="I113" s="137">
        <f t="shared" si="5"/>
        <v>22.408026755852841</v>
      </c>
    </row>
    <row r="114" spans="2:9" ht="46.5" customHeight="1" x14ac:dyDescent="0.3">
      <c r="B114" s="114" t="s">
        <v>119</v>
      </c>
      <c r="C114" s="115" t="str">
        <f>_xlfn.CONCAT(VLOOKUP(B114,urnas!$C$6:$H$150,2)," do Campus ",VLOOKUP(B114,urnas!$C$6:$H$150,4))</f>
        <v>Docentes do Campus São Miguel Paulista</v>
      </c>
      <c r="D114" s="149">
        <v>17</v>
      </c>
      <c r="E114" s="149">
        <v>1</v>
      </c>
      <c r="F114" s="149">
        <v>0</v>
      </c>
      <c r="G114" s="135">
        <f t="shared" si="6"/>
        <v>18</v>
      </c>
      <c r="H114" s="136">
        <f>VLOOKUP(B114,urnas!$C$6:$H$150,6)</f>
        <v>25</v>
      </c>
      <c r="I114" s="137">
        <f t="shared" si="5"/>
        <v>72</v>
      </c>
    </row>
    <row r="115" spans="2:9" ht="46.5" customHeight="1" x14ac:dyDescent="0.3">
      <c r="B115" s="114" t="s">
        <v>120</v>
      </c>
      <c r="C115" s="115" t="str">
        <f>_xlfn.CONCAT(VLOOKUP(B115,urnas!$C$6:$H$150,2)," do Campus ",VLOOKUP(B115,urnas!$C$6:$H$150,4))</f>
        <v>TAEs do Campus São Miguel Paulista</v>
      </c>
      <c r="D115" s="149">
        <v>5</v>
      </c>
      <c r="E115" s="149">
        <v>2</v>
      </c>
      <c r="F115" s="149">
        <v>0</v>
      </c>
      <c r="G115" s="135">
        <f t="shared" si="6"/>
        <v>7</v>
      </c>
      <c r="H115" s="136">
        <f>VLOOKUP(B115,urnas!$C$6:$H$150,6)</f>
        <v>13</v>
      </c>
      <c r="I115" s="137">
        <f t="shared" si="5"/>
        <v>53.846153846153847</v>
      </c>
    </row>
    <row r="116" spans="2:9" ht="46.5" customHeight="1" x14ac:dyDescent="0.3">
      <c r="B116" s="114" t="s">
        <v>121</v>
      </c>
      <c r="C116" s="115" t="str">
        <f>_xlfn.CONCAT(VLOOKUP(B116,urnas!$C$6:$H$150,2)," do Campus ",VLOOKUP(B116,urnas!$C$6:$H$150,4))</f>
        <v>Discentes do Campus Tupã</v>
      </c>
      <c r="D116" s="149">
        <v>32</v>
      </c>
      <c r="E116" s="149">
        <v>84</v>
      </c>
      <c r="F116" s="149">
        <v>3</v>
      </c>
      <c r="G116" s="135">
        <f t="shared" si="6"/>
        <v>119</v>
      </c>
      <c r="H116" s="136">
        <f>VLOOKUP(B116,urnas!$C$6:$H$150,6)</f>
        <v>352</v>
      </c>
      <c r="I116" s="137">
        <f t="shared" si="5"/>
        <v>33.80681818181818</v>
      </c>
    </row>
    <row r="117" spans="2:9" ht="46.5" customHeight="1" x14ac:dyDescent="0.3">
      <c r="B117" s="114" t="s">
        <v>333</v>
      </c>
      <c r="C117" s="115" t="str">
        <f>_xlfn.CONCAT(VLOOKUP(B117,urnas!$C$6:$H$150,2)," do Campus ",VLOOKUP(B117,urnas!$C$6:$H$150,4))</f>
        <v>Docentes do Campus Tupã</v>
      </c>
      <c r="D117" s="149">
        <v>11</v>
      </c>
      <c r="E117" s="149">
        <v>7</v>
      </c>
      <c r="F117" s="149">
        <v>0</v>
      </c>
      <c r="G117" s="135">
        <f t="shared" si="6"/>
        <v>18</v>
      </c>
      <c r="H117" s="136">
        <f>VLOOKUP(B117,urnas!$C$6:$H$150,6)</f>
        <v>23</v>
      </c>
      <c r="I117" s="137">
        <f t="shared" si="5"/>
        <v>78.260869565217391</v>
      </c>
    </row>
    <row r="118" spans="2:9" ht="46.5" customHeight="1" x14ac:dyDescent="0.3">
      <c r="B118" s="114" t="s">
        <v>334</v>
      </c>
      <c r="C118" s="115" t="str">
        <f>_xlfn.CONCAT(VLOOKUP(B118,urnas!$C$6:$H$150,2)," do Campus ",VLOOKUP(B118,urnas!$C$6:$H$150,4))</f>
        <v>TAEs do Campus Tupã</v>
      </c>
      <c r="D118" s="149">
        <v>8</v>
      </c>
      <c r="E118" s="149">
        <v>6</v>
      </c>
      <c r="F118" s="149">
        <v>1</v>
      </c>
      <c r="G118" s="135">
        <f t="shared" si="6"/>
        <v>15</v>
      </c>
      <c r="H118" s="136">
        <f>VLOOKUP(B118,urnas!$C$6:$H$150,6)</f>
        <v>17</v>
      </c>
      <c r="I118" s="137">
        <f t="shared" si="5"/>
        <v>88.235294117647058</v>
      </c>
    </row>
    <row r="119" spans="2:9" ht="46.5" customHeight="1" x14ac:dyDescent="0.3">
      <c r="B119" s="114" t="s">
        <v>335</v>
      </c>
      <c r="C119" s="115" t="str">
        <f>_xlfn.CONCAT(VLOOKUP(B119,urnas!$C$6:$H$150,2)," do Campus ",VLOOKUP(B119,urnas!$C$6:$H$150,4))</f>
        <v>Discentes do Campus Bauru</v>
      </c>
      <c r="D119" s="149">
        <v>6</v>
      </c>
      <c r="E119" s="149">
        <v>19</v>
      </c>
      <c r="F119" s="149">
        <v>0</v>
      </c>
      <c r="G119" s="135">
        <f t="shared" si="6"/>
        <v>25</v>
      </c>
      <c r="H119" s="136">
        <f>VLOOKUP(B119,urnas!$C$6:$H$150,6)</f>
        <v>44</v>
      </c>
      <c r="I119" s="137">
        <f t="shared" si="5"/>
        <v>56.81818181818182</v>
      </c>
    </row>
    <row r="120" spans="2:9" ht="46.5" customHeight="1" x14ac:dyDescent="0.3">
      <c r="B120" s="114" t="s">
        <v>336</v>
      </c>
      <c r="C120" s="115" t="str">
        <f>_xlfn.CONCAT(VLOOKUP(B120,urnas!$C$6:$H$150,2)," do Campus ",VLOOKUP(B120,urnas!$C$6:$H$150,4))</f>
        <v>Discentes do Campus Presidente Prudente</v>
      </c>
      <c r="D120" s="149">
        <v>0</v>
      </c>
      <c r="E120" s="149">
        <v>17</v>
      </c>
      <c r="F120" s="149">
        <v>0</v>
      </c>
      <c r="G120" s="135">
        <f t="shared" si="6"/>
        <v>17</v>
      </c>
      <c r="H120" s="136">
        <f>VLOOKUP(B120,urnas!$C$6:$H$150,6)</f>
        <v>37</v>
      </c>
      <c r="I120" s="137">
        <f t="shared" si="5"/>
        <v>45.945945945945951</v>
      </c>
    </row>
    <row r="121" spans="2:9" ht="126.75" customHeight="1" x14ac:dyDescent="0.3">
      <c r="B121" s="114" t="s">
        <v>337</v>
      </c>
      <c r="C121" s="115" t="str">
        <f>_xlfn.CONCAT(VLOOKUP(B121,urnas!$C$6:$H$150,2)," do Campus ",VLOOKUP(B121,urnas!$C$6:$H$150,4))</f>
        <v>Docentes do Campus Bauru, Miracatu, Presidente Prudente, Rio Claro e Centro de Referência em Educação a Distância</v>
      </c>
      <c r="D121" s="149">
        <v>1</v>
      </c>
      <c r="E121" s="149">
        <v>12</v>
      </c>
      <c r="F121" s="149">
        <v>0</v>
      </c>
      <c r="G121" s="135">
        <f t="shared" si="6"/>
        <v>13</v>
      </c>
      <c r="H121" s="136">
        <f>VLOOKUP(B121,urnas!$C$6:$H$150,6)</f>
        <v>13</v>
      </c>
      <c r="I121" s="137">
        <f t="shared" si="5"/>
        <v>100</v>
      </c>
    </row>
    <row r="122" spans="2:9" ht="84.75" customHeight="1" x14ac:dyDescent="0.3">
      <c r="B122" s="114" t="s">
        <v>338</v>
      </c>
      <c r="C122" s="115" t="str">
        <f>_xlfn.CONCAT(VLOOKUP(B122,urnas!$C$6:$H$150,2)," do Campus ",VLOOKUP(B122,urnas!$C$6:$H$150,4))</f>
        <v>TAEs do Campus Bauru, Miracatu, Presidente Prudente, Rio Claro e Reitoria</v>
      </c>
      <c r="D122" s="149">
        <v>26</v>
      </c>
      <c r="E122" s="149">
        <v>196</v>
      </c>
      <c r="F122" s="149">
        <v>7</v>
      </c>
      <c r="G122" s="135">
        <f t="shared" si="6"/>
        <v>229</v>
      </c>
      <c r="H122" s="136">
        <f>VLOOKUP(B122,urnas!$C$6:$H$150,6)</f>
        <v>269</v>
      </c>
      <c r="I122" s="137">
        <f t="shared" si="5"/>
        <v>85.130111524163567</v>
      </c>
    </row>
    <row r="123" spans="2:9" x14ac:dyDescent="0.3">
      <c r="B123" s="116"/>
      <c r="C123" s="116"/>
      <c r="D123" s="116"/>
      <c r="E123" s="116"/>
      <c r="F123" s="116"/>
    </row>
    <row r="124" spans="2:9" x14ac:dyDescent="0.3">
      <c r="B124" s="116"/>
      <c r="C124" s="116"/>
      <c r="D124" s="116"/>
      <c r="E124" s="116"/>
      <c r="F124" s="116"/>
    </row>
    <row r="125" spans="2:9" x14ac:dyDescent="0.3">
      <c r="B125" s="116"/>
      <c r="C125" s="116"/>
      <c r="D125" s="116"/>
      <c r="E125" s="116"/>
      <c r="F125" s="116"/>
    </row>
    <row r="126" spans="2:9" x14ac:dyDescent="0.3">
      <c r="B126" s="116"/>
      <c r="C126" s="117" t="s">
        <v>227</v>
      </c>
      <c r="D126" s="116"/>
      <c r="E126" s="116"/>
      <c r="F126" s="116"/>
    </row>
    <row r="127" spans="2:9" ht="26.4" thickBot="1" x14ac:dyDescent="0.35">
      <c r="B127" s="116"/>
      <c r="C127" s="116"/>
      <c r="D127" s="116"/>
      <c r="E127" s="116"/>
      <c r="F127" s="116"/>
    </row>
    <row r="128" spans="2:9" ht="24.9" customHeight="1" x14ac:dyDescent="0.3">
      <c r="B128" s="116"/>
      <c r="C128" s="106" t="s">
        <v>207</v>
      </c>
      <c r="D128" s="108" t="s">
        <v>206</v>
      </c>
      <c r="E128" s="109"/>
      <c r="F128" s="109"/>
      <c r="G128" s="138"/>
      <c r="H128" s="139"/>
      <c r="I128" s="132" t="s">
        <v>240</v>
      </c>
    </row>
    <row r="129" spans="2:9" ht="50.1" customHeight="1" x14ac:dyDescent="0.3">
      <c r="B129" s="116"/>
      <c r="C129" s="110"/>
      <c r="D129" s="112" t="str">
        <f>D7</f>
        <v>(Prof. Adelino) Adelino Francisco de Oliveira</v>
      </c>
      <c r="E129" s="112" t="str">
        <f t="shared" ref="E129:F129" si="7">E7</f>
        <v>(Silmário Santos) Silmário Batista dos Santos</v>
      </c>
      <c r="F129" s="112" t="str">
        <f t="shared" si="7"/>
        <v>Brancos</v>
      </c>
      <c r="G129" s="133" t="s">
        <v>221</v>
      </c>
      <c r="H129" s="140" t="s">
        <v>228</v>
      </c>
      <c r="I129" s="134"/>
    </row>
    <row r="130" spans="2:9" ht="24.9" customHeight="1" x14ac:dyDescent="0.3">
      <c r="B130" s="116"/>
      <c r="C130" s="114" t="s">
        <v>209</v>
      </c>
      <c r="D130" s="118">
        <f>SUM(D11,D14,D17,D20,D23,D26,D29,D32,D35,D38,D41,D44,D47,D50,D53,D56,D59,D62,D65,D68,D71,D74,D77,D80,D83,D86,D89,D92,D95,D98,D101,D104,D107,D110,D119,D113,D116,D8,D120)</f>
        <v>3582</v>
      </c>
      <c r="E130" s="118">
        <f t="shared" ref="E130:F130" si="8">SUM(E11,E14,E17,E20,E23,E26,E29,E32,E35,E38,E41,E44,E47,E50,E53,E56,E59,E62,E65,E68,E71,E74,E77,E80,E83,E86,E89,E92,E95,E98,E101,E104,E107,E110,E119,E113,E116,E8,E120)</f>
        <v>3214</v>
      </c>
      <c r="F130" s="118">
        <f t="shared" si="8"/>
        <v>790</v>
      </c>
      <c r="G130" s="141">
        <f t="shared" ref="G130:H130" si="9">SUM(G11,G14,G17,G20,G23,G26,G29,G32,G35,G38,G41,G44,G47,G50,G53,G56,G59,G62,G65,G68,G71,G74,G77,G80,G83,G86,G89,G92,G95,G98,G101,G104,G107,G110,G119,G113,G116,G8,G120)</f>
        <v>7586</v>
      </c>
      <c r="H130" s="141">
        <f t="shared" si="9"/>
        <v>41494</v>
      </c>
      <c r="I130" s="137">
        <f>G130/H130*100</f>
        <v>18.282161276329109</v>
      </c>
    </row>
    <row r="131" spans="2:9" ht="24.9" customHeight="1" x14ac:dyDescent="0.3">
      <c r="B131" s="116"/>
      <c r="C131" s="114" t="s">
        <v>208</v>
      </c>
      <c r="D131" s="118">
        <f>SUM(D9,D12,D15,D18,D21,D24,D27,D30,D33,D36,D39,D42,D45,D48,D51,D54,D57,D60,D63,D66,D69,D72,D75,D78,D81,D84,D87,D90,D93,D96,D99,D102,D105,D108,D117,D121,D111,D114)</f>
        <v>905</v>
      </c>
      <c r="E131" s="118">
        <f t="shared" ref="E131:F131" si="10">SUM(E9,E12,E15,E18,E21,E24,E27,E30,E33,E36,E39,E42,E45,E48,E51,E54,E57,E60,E63,E66,E69,E72,E75,E78,E81,E84,E87,E90,E93,E96,E99,E102,E105,E108,E117,E121,E111,E114)</f>
        <v>1185</v>
      </c>
      <c r="F131" s="118">
        <f t="shared" si="10"/>
        <v>76</v>
      </c>
      <c r="G131" s="141">
        <f t="shared" ref="G131:H131" si="11">SUM(G9,G12,G15,G18,G21,G24,G27,G30,G33,G36,G39,G42,G45,G48,G51,G54,G57,G60,G63,G66,G69,G72,G75,G78,G81,G84,G87,G90,G93,G96,G99,G102,G105,G108,G117,G121,G111,G114)</f>
        <v>2166</v>
      </c>
      <c r="H131" s="141">
        <f t="shared" si="11"/>
        <v>2583</v>
      </c>
      <c r="I131" s="137">
        <f t="shared" ref="I131:I133" si="12">G131/H131*100</f>
        <v>83.855981416957022</v>
      </c>
    </row>
    <row r="132" spans="2:9" ht="24.9" customHeight="1" x14ac:dyDescent="0.3">
      <c r="B132" s="116"/>
      <c r="C132" s="114" t="s">
        <v>15</v>
      </c>
      <c r="D132" s="118">
        <f>SUM(D10,D13,D16,D19,D22,D25,D28,D31,D34,D37,D40,D43,D46,D49,D52,D55,D58,D61,D64,D67,D70,D73,D76,D79,D82,D85,D88,D91,D94,D97,D100,D103,D106,D109,D118,D122,D112,D115)</f>
        <v>547</v>
      </c>
      <c r="E132" s="118">
        <f t="shared" ref="E132:F132" si="13">SUM(E10,E13,E16,E19,E22,E25,E28,E31,E34,E37,E40,E43,E46,E49,E52,E55,E58,E61,E64,E67,E70,E73,E76,E79,E82,E85,E88,E91,E94,E97,E100,E103,E106,E109,E118,E122,E112,E115)</f>
        <v>999</v>
      </c>
      <c r="F132" s="118">
        <f t="shared" si="13"/>
        <v>65</v>
      </c>
      <c r="G132" s="141">
        <f t="shared" ref="G132:H132" si="14">SUM(G10,G13,G16,G19,G22,G25,G28,G31,G34,G37,G40,G43,G46,G49,G52,G55,G58,G61,G64,G67,G70,G73,G76,G79,G82,G85,G88,G91,G94,G97,G100,G103,G106,G109,G118,G122,G112,G115)</f>
        <v>1611</v>
      </c>
      <c r="H132" s="141">
        <f t="shared" si="14"/>
        <v>1910</v>
      </c>
      <c r="I132" s="137">
        <f t="shared" si="12"/>
        <v>84.345549738219887</v>
      </c>
    </row>
    <row r="133" spans="2:9" ht="24.9" customHeight="1" thickBot="1" x14ac:dyDescent="0.35">
      <c r="B133" s="116"/>
      <c r="C133" s="119" t="s">
        <v>221</v>
      </c>
      <c r="D133" s="120">
        <f>SUM(D130:D132)</f>
        <v>5034</v>
      </c>
      <c r="E133" s="120">
        <f t="shared" ref="E133:H133" si="15">SUM(E130:E132)</f>
        <v>5398</v>
      </c>
      <c r="F133" s="120">
        <f t="shared" si="15"/>
        <v>931</v>
      </c>
      <c r="G133" s="142">
        <f t="shared" si="15"/>
        <v>11363</v>
      </c>
      <c r="H133" s="143">
        <f t="shared" si="15"/>
        <v>45987</v>
      </c>
      <c r="I133" s="137">
        <f t="shared" si="12"/>
        <v>24.709156935655731</v>
      </c>
    </row>
    <row r="134" spans="2:9" x14ac:dyDescent="0.3">
      <c r="B134" s="116"/>
      <c r="C134" s="116"/>
      <c r="D134" s="116"/>
      <c r="E134" s="116"/>
      <c r="F134" s="116"/>
    </row>
    <row r="135" spans="2:9" x14ac:dyDescent="0.3">
      <c r="B135" s="116"/>
      <c r="C135" s="116"/>
      <c r="D135" s="116"/>
      <c r="E135" s="116"/>
      <c r="F135" s="116"/>
    </row>
    <row r="136" spans="2:9" x14ac:dyDescent="0.3">
      <c r="B136" s="116"/>
      <c r="C136" s="116"/>
      <c r="D136" s="116"/>
      <c r="E136" s="116"/>
      <c r="F136" s="116"/>
    </row>
    <row r="137" spans="2:9" x14ac:dyDescent="0.3">
      <c r="B137" s="116"/>
      <c r="C137" s="117" t="s">
        <v>200</v>
      </c>
      <c r="D137" s="116"/>
      <c r="E137" s="116"/>
      <c r="F137" s="116"/>
    </row>
    <row r="138" spans="2:9" ht="26.4" thickBot="1" x14ac:dyDescent="0.35">
      <c r="B138" s="116"/>
      <c r="C138" s="116"/>
      <c r="D138" s="116"/>
      <c r="E138" s="116"/>
      <c r="F138" s="116"/>
    </row>
    <row r="139" spans="2:9" ht="24.9" customHeight="1" x14ac:dyDescent="0.5">
      <c r="B139" s="116"/>
      <c r="C139" s="106" t="s">
        <v>207</v>
      </c>
      <c r="D139" s="108" t="s">
        <v>206</v>
      </c>
      <c r="E139" s="109"/>
      <c r="F139" s="121"/>
      <c r="G139" s="144"/>
      <c r="H139" s="144"/>
    </row>
    <row r="140" spans="2:9" ht="50.1" customHeight="1" x14ac:dyDescent="0.5">
      <c r="B140" s="116"/>
      <c r="C140" s="110"/>
      <c r="D140" s="112" t="str">
        <f>D7</f>
        <v>(Prof. Adelino) Adelino Francisco de Oliveira</v>
      </c>
      <c r="E140" s="112" t="str">
        <f t="shared" ref="E140" si="16">E7</f>
        <v>(Silmário Santos) Silmário Batista dos Santos</v>
      </c>
      <c r="F140" s="121"/>
      <c r="G140" s="144"/>
      <c r="H140" s="144"/>
    </row>
    <row r="141" spans="2:9" ht="24.9" customHeight="1" x14ac:dyDescent="0.5">
      <c r="B141" s="116"/>
      <c r="C141" s="114" t="s">
        <v>209</v>
      </c>
      <c r="D141" s="122">
        <f t="shared" ref="D141:E143" si="17">IF(D130=0,0,100*(1/3*(D130/$H130)))</f>
        <v>2.8775244613679085</v>
      </c>
      <c r="E141" s="122">
        <f t="shared" si="17"/>
        <v>2.5818993910766213</v>
      </c>
      <c r="F141" s="121"/>
      <c r="G141" s="144"/>
      <c r="H141" s="144"/>
    </row>
    <row r="142" spans="2:9" ht="24.9" customHeight="1" x14ac:dyDescent="0.5">
      <c r="B142" s="116"/>
      <c r="C142" s="114" t="s">
        <v>208</v>
      </c>
      <c r="D142" s="122">
        <f t="shared" si="17"/>
        <v>11.678926313072655</v>
      </c>
      <c r="E142" s="122">
        <f t="shared" si="17"/>
        <v>15.292295780100657</v>
      </c>
      <c r="F142" s="121"/>
      <c r="G142" s="144"/>
      <c r="H142" s="144"/>
    </row>
    <row r="143" spans="2:9" ht="24.9" customHeight="1" x14ac:dyDescent="0.5">
      <c r="B143" s="116"/>
      <c r="C143" s="114" t="s">
        <v>15</v>
      </c>
      <c r="D143" s="122">
        <f t="shared" si="17"/>
        <v>9.5462478184991273</v>
      </c>
      <c r="E143" s="122">
        <f t="shared" si="17"/>
        <v>17.434554973821985</v>
      </c>
      <c r="F143" s="121"/>
      <c r="G143" s="144"/>
      <c r="H143" s="144"/>
    </row>
    <row r="144" spans="2:9" ht="24.9" customHeight="1" thickBot="1" x14ac:dyDescent="0.55000000000000004">
      <c r="B144" s="116"/>
      <c r="C144" s="119" t="s">
        <v>214</v>
      </c>
      <c r="D144" s="123">
        <f>SUM(D141:D143)</f>
        <v>24.102698592939689</v>
      </c>
      <c r="E144" s="123">
        <f t="shared" ref="E144" si="18">SUM(E141:E143)</f>
        <v>35.308750144999266</v>
      </c>
      <c r="F144" s="121"/>
      <c r="G144" s="144"/>
      <c r="H144" s="144"/>
    </row>
    <row r="145" spans="2:26" x14ac:dyDescent="0.3">
      <c r="B145" s="116"/>
      <c r="C145" s="116"/>
      <c r="D145" s="116"/>
      <c r="E145" s="116"/>
      <c r="F145" s="116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6" x14ac:dyDescent="0.3">
      <c r="B146" s="116"/>
      <c r="C146" s="116"/>
      <c r="D146" s="116"/>
      <c r="E146" s="116"/>
      <c r="F146" s="116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6" x14ac:dyDescent="0.3">
      <c r="B147" s="116"/>
      <c r="C147" s="116"/>
      <c r="D147" s="116"/>
      <c r="E147" s="116"/>
      <c r="F147" s="116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2:26" x14ac:dyDescent="0.3">
      <c r="B148" s="116"/>
      <c r="C148" s="117" t="s">
        <v>222</v>
      </c>
      <c r="D148" s="116"/>
      <c r="E148" s="116"/>
      <c r="F148" s="116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2:26" ht="26.4" thickBot="1" x14ac:dyDescent="0.35">
      <c r="B149" s="116"/>
      <c r="C149" s="116"/>
      <c r="D149" s="116"/>
      <c r="E149" s="116"/>
      <c r="F149" s="116"/>
      <c r="M149" s="2"/>
      <c r="N149" s="2"/>
      <c r="O149" s="2" cm="1">
        <f t="array" ref="O149:P150">_xlfn._xlws.SORT(S149:T150,1,-1)</f>
        <v>35.308750144999266</v>
      </c>
      <c r="P149" s="2" t="str">
        <v>(Silmário Santos) Silmário Batista dos Santos</v>
      </c>
      <c r="Q149" s="2"/>
      <c r="R149" s="2"/>
      <c r="S149" s="44">
        <f>D144</f>
        <v>24.102698592939689</v>
      </c>
      <c r="T149" s="2" t="str">
        <f>D140</f>
        <v>(Prof. Adelino) Adelino Francisco de Oliveira</v>
      </c>
      <c r="U149" s="2"/>
      <c r="V149" s="2"/>
      <c r="W149" s="2"/>
      <c r="X149" s="2"/>
      <c r="Y149" s="2"/>
      <c r="Z149" s="2"/>
    </row>
    <row r="150" spans="2:26" ht="24.9" customHeight="1" thickBot="1" x14ac:dyDescent="0.35">
      <c r="B150" s="116"/>
      <c r="C150" s="106" t="s">
        <v>206</v>
      </c>
      <c r="D150" s="107"/>
      <c r="E150" s="107"/>
      <c r="F150" s="107"/>
      <c r="G150" s="145" t="s">
        <v>214</v>
      </c>
      <c r="M150" s="2"/>
      <c r="N150" s="2"/>
      <c r="O150" s="2">
        <v>24.102698592939689</v>
      </c>
      <c r="P150" s="2" t="str">
        <v>(Prof. Adelino) Adelino Francisco de Oliveira</v>
      </c>
      <c r="Q150" s="2"/>
      <c r="R150" s="2"/>
      <c r="S150" s="44">
        <f>E144</f>
        <v>35.308750144999266</v>
      </c>
      <c r="T150" s="2" t="str">
        <f>E140</f>
        <v>(Silmário Santos) Silmário Batista dos Santos</v>
      </c>
      <c r="U150" s="2"/>
      <c r="V150" s="2"/>
      <c r="W150" s="2"/>
      <c r="X150" s="2"/>
      <c r="Y150" s="2"/>
      <c r="Z150" s="2"/>
    </row>
    <row r="151" spans="2:26" ht="24.9" customHeight="1" x14ac:dyDescent="0.3">
      <c r="B151" s="124" t="s">
        <v>218</v>
      </c>
      <c r="C151" s="125" t="str">
        <f>IF(COUNTA($D$8:$F$122)=115*3, P149,"Aguardando preenchimento total dos votos")</f>
        <v>(Silmário Santos) Silmário Batista dos Santos</v>
      </c>
      <c r="D151" s="126"/>
      <c r="E151" s="126"/>
      <c r="F151" s="126"/>
      <c r="G151" s="146">
        <f>IF(COUNTA($D$8:$F$122)=115*3, O149,"")</f>
        <v>35.308750144999266</v>
      </c>
      <c r="M151" s="2"/>
      <c r="N151" s="2"/>
      <c r="O151" s="2"/>
      <c r="P151" s="2"/>
      <c r="Q151" s="2"/>
      <c r="R151" s="2"/>
      <c r="S151" s="44"/>
      <c r="T151" s="2"/>
      <c r="U151" s="2"/>
      <c r="V151" s="2"/>
      <c r="W151" s="2"/>
      <c r="X151" s="2"/>
      <c r="Y151" s="2"/>
      <c r="Z151" s="2"/>
    </row>
    <row r="152" spans="2:26" x14ac:dyDescent="0.3">
      <c r="B152" s="127" t="s">
        <v>219</v>
      </c>
      <c r="C152" s="128" t="str">
        <f>IF(COUNTA($D$8:$F$122)=115*3, P150,"")</f>
        <v>(Prof. Adelino) Adelino Francisco de Oliveira</v>
      </c>
      <c r="D152" s="129"/>
      <c r="E152" s="129"/>
      <c r="F152" s="129"/>
      <c r="G152" s="147">
        <f>IF(COUNTA($D$8:$F$122)=115*3, O150,"")</f>
        <v>24.102698592939689</v>
      </c>
      <c r="M152" s="2"/>
      <c r="N152" s="2"/>
      <c r="O152" s="2"/>
      <c r="P152" s="2"/>
      <c r="Q152" s="2"/>
      <c r="R152" s="2"/>
      <c r="S152" s="44"/>
      <c r="T152" s="2"/>
      <c r="U152" s="2"/>
      <c r="V152" s="2"/>
      <c r="W152" s="2"/>
      <c r="X152" s="2"/>
      <c r="Y152" s="2"/>
      <c r="Z152" s="2"/>
    </row>
    <row r="153" spans="2:26" ht="21" customHeight="1" x14ac:dyDescent="0.5">
      <c r="B153" s="12"/>
      <c r="C153" s="12"/>
      <c r="D153" s="12"/>
      <c r="E153" s="12"/>
      <c r="F153" s="12"/>
      <c r="G153" s="144"/>
      <c r="M153" s="2"/>
      <c r="N153" s="2"/>
      <c r="O153" s="2"/>
      <c r="P153" s="2"/>
      <c r="Q153" s="2"/>
      <c r="R153" s="2"/>
      <c r="S153" s="44"/>
      <c r="T153" s="2"/>
      <c r="U153" s="2"/>
      <c r="V153" s="2"/>
      <c r="W153" s="2"/>
      <c r="X153" s="2"/>
      <c r="Y153" s="2"/>
      <c r="Z153" s="2"/>
    </row>
    <row r="154" spans="2:26" ht="21" customHeight="1" x14ac:dyDescent="0.5">
      <c r="B154" s="12"/>
      <c r="C154" s="12"/>
      <c r="D154" s="12"/>
      <c r="E154" s="12"/>
      <c r="F154" s="12"/>
      <c r="G154" s="144"/>
      <c r="M154" s="2"/>
      <c r="N154" s="2"/>
      <c r="O154" s="2"/>
      <c r="P154" s="2"/>
      <c r="Q154" s="2"/>
      <c r="R154" s="2"/>
      <c r="S154" s="44"/>
      <c r="T154" s="2"/>
      <c r="U154" s="2"/>
      <c r="V154" s="2"/>
      <c r="W154" s="2"/>
      <c r="X154" s="2"/>
      <c r="Y154" s="2"/>
      <c r="Z154" s="2"/>
    </row>
    <row r="155" spans="2:26" x14ac:dyDescent="0.5">
      <c r="B155" s="12"/>
      <c r="C155" s="12"/>
      <c r="D155" s="12"/>
      <c r="E155" s="12"/>
      <c r="F155" s="12"/>
      <c r="G155" s="144"/>
      <c r="W155" s="2"/>
      <c r="X155" s="2"/>
      <c r="Y155" s="2"/>
      <c r="Z155" s="2"/>
    </row>
    <row r="156" spans="2:26" ht="21" customHeight="1" x14ac:dyDescent="0.5">
      <c r="B156" s="12"/>
      <c r="C156" s="12"/>
      <c r="D156" s="12"/>
      <c r="E156" s="12"/>
      <c r="F156" s="12"/>
      <c r="G156" s="144"/>
    </row>
    <row r="157" spans="2:26" x14ac:dyDescent="0.5">
      <c r="C157" s="53"/>
      <c r="D157" s="12"/>
      <c r="E157" s="12"/>
      <c r="F157" s="12"/>
      <c r="G157" s="148" t="str">
        <f>IF(AND(OR(G151=G152,G152=G153,G153=G154,G154=G155,G155=G156),ISNUMBER(G151)),"Verificar critérios de desempate","")</f>
        <v>Verificar critérios de desempate</v>
      </c>
      <c r="H157" s="144"/>
    </row>
    <row r="158" spans="2:26" x14ac:dyDescent="0.3">
      <c r="B158" s="5"/>
    </row>
    <row r="159" spans="2:26" x14ac:dyDescent="0.3">
      <c r="B159" s="5" t="str">
        <f>IF(COUNTA(D8:F122)=(9*109),"Em caso de empate utilizar os critérios elencados no código eleitoral","")</f>
        <v/>
      </c>
    </row>
  </sheetData>
  <sheetProtection algorithmName="SHA-512" hashValue="WTggvaooGYtQWLXNSRu3PPaJo7w1XbEyvREYcBmXTHYqIDzBftghpFHq/pks0tRyHbQ48X1YHUufa8rzV0usZw==" saltValue="mUvRIdWnBNM98Z5dnGIssw==" spinCount="100000" sheet="1" objects="1" scenarios="1"/>
  <mergeCells count="10">
    <mergeCell ref="I128:I129"/>
    <mergeCell ref="I6:I7"/>
    <mergeCell ref="C128:C129"/>
    <mergeCell ref="C139:C140"/>
    <mergeCell ref="C151:F151"/>
    <mergeCell ref="C152:F152"/>
    <mergeCell ref="B6:B7"/>
    <mergeCell ref="C6:C7"/>
    <mergeCell ref="H6:H7"/>
    <mergeCell ref="C150:F150"/>
  </mergeCells>
  <phoneticPr fontId="18" type="noConversion"/>
  <pageMargins left="0.51181102362204722" right="0.51181102362204722" top="0.78740157480314965" bottom="0.78740157480314965" header="0.31496062992125984" footer="0.31496062992125984"/>
  <pageSetup paperSize="9" scale="55" fitToHeight="0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minAxisType="group" maxAxisType="group" xr2:uid="{83EEE022-0854-4E1A-96FF-4811CA59D29D}">
          <x14:colorSeries theme="7"/>
          <x14:colorNegative theme="8"/>
          <x14:colorAxis rgb="FF000000"/>
          <x14:colorMarkers theme="7" tint="-0.249977111117893"/>
          <x14:colorFirst theme="7" tint="-0.249977111117893"/>
          <x14:colorLast theme="7" tint="-0.249977111117893"/>
          <x14:colorHigh theme="7" tint="-0.249977111117893"/>
          <x14:colorLow theme="7" tint="-0.249977111117893"/>
          <x14:sparklines>
            <x14:sparkline>
              <xm:f>Reitor!D144:D144</xm:f>
              <xm:sqref>D4</xm:sqref>
            </x14:sparkline>
            <x14:sparkline>
              <xm:f>Reitor!E144:E144</xm:f>
              <xm:sqref>E4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6CEA0-73E0-432B-A9A1-90457134BC73}">
  <sheetPr codeName="Planilha69">
    <tabColor theme="2" tint="-0.249977111117893"/>
  </sheetPr>
  <dimension ref="A1:AB31"/>
  <sheetViews>
    <sheetView showRowColHeaders="0" workbookViewId="0">
      <selection activeCell="I26" sqref="I26"/>
    </sheetView>
  </sheetViews>
  <sheetFormatPr defaultColWidth="9.109375" defaultRowHeight="14.4" x14ac:dyDescent="0.3"/>
  <cols>
    <col min="1" max="2" width="9.109375" style="1"/>
    <col min="3" max="3" width="15.44140625" style="1" customWidth="1"/>
    <col min="4" max="7" width="25.6640625" style="1" customWidth="1"/>
    <col min="8" max="9" width="10.6640625" style="1" customWidth="1"/>
    <col min="10" max="10" width="18.5546875" style="1" bestFit="1" customWidth="1"/>
    <col min="11" max="16384" width="9.109375" style="1"/>
  </cols>
  <sheetData>
    <row r="1" spans="1:28" x14ac:dyDescent="0.3">
      <c r="A1" s="2">
        <v>1</v>
      </c>
    </row>
    <row r="2" spans="1:28" ht="28.8" x14ac:dyDescent="0.3">
      <c r="B2" s="4" t="s">
        <v>344</v>
      </c>
    </row>
    <row r="3" spans="1:28" ht="23.4" x14ac:dyDescent="0.3">
      <c r="B3" s="5" t="str">
        <f>_xlfn.CONCAT("Diretor-Geral de Campus: ",VLOOKUP($H$3,campus!$A$2:$C$50,3))</f>
        <v>Diretor-Geral de Campus: Registro</v>
      </c>
      <c r="H3" s="1">
        <v>22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3"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" thickBot="1" x14ac:dyDescent="0.35">
      <c r="L5" s="2"/>
      <c r="M5" s="2">
        <f>LARGE(D22:G22,1)</f>
        <v>47.466573047968396</v>
      </c>
      <c r="N5" s="2">
        <f>LARGE(D22:G22,2)</f>
        <v>32.251770623863649</v>
      </c>
      <c r="O5" s="2">
        <f>LARGE(D22:G22,3)</f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24.9" customHeight="1" x14ac:dyDescent="0.3">
      <c r="B6" s="62" t="s">
        <v>9</v>
      </c>
      <c r="C6" s="63" t="s">
        <v>207</v>
      </c>
      <c r="D6" s="79" t="s">
        <v>197</v>
      </c>
      <c r="E6" s="80"/>
      <c r="F6" s="80"/>
      <c r="G6" s="80"/>
      <c r="H6" s="80"/>
      <c r="I6" s="81"/>
      <c r="J6" s="82" t="s">
        <v>205</v>
      </c>
      <c r="L6" s="2"/>
      <c r="M6" s="2" t="s">
        <v>215</v>
      </c>
      <c r="N6" s="2" t="s">
        <v>216</v>
      </c>
      <c r="O6" s="2" t="s">
        <v>217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51" customHeight="1" x14ac:dyDescent="0.3">
      <c r="B7" s="77"/>
      <c r="C7" s="78"/>
      <c r="D7" s="6" t="str">
        <f>VLOOKUP($H$3,campus!$A$2:$P$50,8)</f>
        <v>(Ivelton) Ivelton Soares da Silva</v>
      </c>
      <c r="E7" s="6" t="str">
        <f>VLOOKUP($H$3,campus!$A$2:$P$50,9)</f>
        <v>(RODRIGO CRUZ) Rodrigo Andrade da Cruz</v>
      </c>
      <c r="F7" s="6" t="str">
        <f>VLOOKUP($H$3,campus!$A$2:$P$50,10)</f>
        <v>Branco</v>
      </c>
      <c r="G7" s="6"/>
      <c r="H7" s="7"/>
      <c r="I7" s="6" t="s">
        <v>210</v>
      </c>
      <c r="J7" s="83"/>
      <c r="L7" s="2"/>
      <c r="M7" s="2"/>
      <c r="N7" s="2"/>
      <c r="O7" s="2"/>
      <c r="P7" s="2"/>
      <c r="Q7" s="44">
        <f>IF(OR(D7="Branco",D7=0),"",D22)</f>
        <v>32.251770623863649</v>
      </c>
      <c r="R7" s="2" t="str">
        <f>IF(OR(D7="Branco",D7=0),"",D7)</f>
        <v>(Ivelton) Ivelton Soares da Silva</v>
      </c>
      <c r="S7" s="2"/>
      <c r="T7" s="2" cm="1">
        <f t="array" ref="T7:U10">_xlfn.SORTBY(Q7:R10,Q7:Q10,1)</f>
        <v>32.251770623863649</v>
      </c>
      <c r="U7" s="2" t="str">
        <v>(Ivelton) Ivelton Soares da Silva</v>
      </c>
      <c r="V7" s="2"/>
      <c r="W7" s="2"/>
      <c r="X7" s="2"/>
      <c r="Y7" s="2"/>
      <c r="Z7" s="2"/>
      <c r="AA7" s="2"/>
      <c r="AB7" s="2"/>
    </row>
    <row r="8" spans="1:28" ht="23.25" customHeight="1" x14ac:dyDescent="0.3">
      <c r="B8" s="9" t="str">
        <f>VLOOKUP(3*$H$3-2,urnas!$B$6:$D$150,2)</f>
        <v>Urna 064</v>
      </c>
      <c r="C8" s="21" t="str">
        <f>VLOOKUP(3*$H$3-2,urnas!$B$6:$D$150,3)</f>
        <v>Discentes</v>
      </c>
      <c r="D8" s="150">
        <v>103</v>
      </c>
      <c r="E8" s="150">
        <v>293</v>
      </c>
      <c r="F8" s="150">
        <v>4</v>
      </c>
      <c r="G8" s="60">
        <v>0</v>
      </c>
      <c r="H8" s="60">
        <v>0</v>
      </c>
      <c r="I8" s="8">
        <f t="shared" ref="I8:I10" si="0">SUM(D8:H8)</f>
        <v>400</v>
      </c>
      <c r="J8" s="15">
        <f>VLOOKUP(B8,urnas!$C$6:$H$150,6)</f>
        <v>819</v>
      </c>
      <c r="L8" s="2"/>
      <c r="M8" s="2"/>
      <c r="N8" s="2"/>
      <c r="O8" s="2"/>
      <c r="P8" s="2"/>
      <c r="Q8" s="44">
        <f>IF(OR(E7="Branco",E7=0),"",E22)</f>
        <v>47.466573047968396</v>
      </c>
      <c r="R8" s="2" t="str">
        <f>IF(OR(E7="Branco",E7=0),"",E7)</f>
        <v>(RODRIGO CRUZ) Rodrigo Andrade da Cruz</v>
      </c>
      <c r="S8" s="2"/>
      <c r="T8" s="2">
        <v>47.466573047968396</v>
      </c>
      <c r="U8" s="2" t="str">
        <v>(RODRIGO CRUZ) Rodrigo Andrade da Cruz</v>
      </c>
      <c r="V8" s="2"/>
      <c r="W8" s="2"/>
      <c r="X8" s="2"/>
      <c r="Y8" s="2"/>
      <c r="Z8" s="2"/>
      <c r="AA8" s="2"/>
      <c r="AB8" s="2"/>
    </row>
    <row r="9" spans="1:28" ht="21.75" customHeight="1" x14ac:dyDescent="0.3">
      <c r="B9" s="9" t="str">
        <f>VLOOKUP(3*$H$3-1,urnas!$B$6:$D$150,2)</f>
        <v>Urna 065</v>
      </c>
      <c r="C9" s="21" t="str">
        <f>VLOOKUP(3*$H$3-1,urnas!$B$6:$D$150,3)</f>
        <v>Docentes</v>
      </c>
      <c r="D9" s="150">
        <v>31</v>
      </c>
      <c r="E9" s="150">
        <v>32</v>
      </c>
      <c r="F9" s="150">
        <v>1</v>
      </c>
      <c r="G9" s="60">
        <v>0</v>
      </c>
      <c r="H9" s="60">
        <v>0</v>
      </c>
      <c r="I9" s="8">
        <f t="shared" si="0"/>
        <v>64</v>
      </c>
      <c r="J9" s="15">
        <f>VLOOKUP(B9,urnas!$C$6:$H$150,6)</f>
        <v>66</v>
      </c>
      <c r="L9" s="2"/>
      <c r="M9" s="2"/>
      <c r="N9" s="2"/>
      <c r="O9" s="2"/>
      <c r="P9" s="2"/>
      <c r="Q9" s="44" t="str">
        <f>IF(OR(F7="Branco",F7=0),"",F22)</f>
        <v/>
      </c>
      <c r="R9" s="2" t="str">
        <f>IF(OR(F7="Branco",F7=0),"",F7)</f>
        <v/>
      </c>
      <c r="S9" s="2"/>
      <c r="T9" s="2" t="str">
        <v/>
      </c>
      <c r="U9" s="2" t="str">
        <v/>
      </c>
      <c r="V9" s="2"/>
      <c r="W9" s="2"/>
      <c r="X9" s="2"/>
      <c r="Y9" s="2"/>
      <c r="Z9" s="2"/>
      <c r="AA9" s="2"/>
      <c r="AB9" s="2"/>
    </row>
    <row r="10" spans="1:28" ht="21" customHeight="1" thickBot="1" x14ac:dyDescent="0.35">
      <c r="B10" s="10" t="str">
        <f>VLOOKUP(3*$H$3,urnas!$B$6:$D$150,2)</f>
        <v>Urna 066</v>
      </c>
      <c r="C10" s="22" t="str">
        <f>VLOOKUP(3*$H$3,urnas!$B$6:$D$150,3)</f>
        <v>TAEs</v>
      </c>
      <c r="D10" s="150">
        <v>16</v>
      </c>
      <c r="E10" s="150">
        <v>25</v>
      </c>
      <c r="F10" s="150">
        <v>1</v>
      </c>
      <c r="G10" s="60">
        <v>0</v>
      </c>
      <c r="H10" s="60">
        <v>0</v>
      </c>
      <c r="I10" s="11">
        <f t="shared" si="0"/>
        <v>42</v>
      </c>
      <c r="J10" s="16">
        <f>VLOOKUP(B10,urnas!$C$6:$H$150,6)</f>
        <v>43</v>
      </c>
      <c r="L10" s="2"/>
      <c r="M10" s="2"/>
      <c r="N10" s="2"/>
      <c r="O10" s="2"/>
      <c r="P10" s="2"/>
      <c r="Q10" s="44" t="str">
        <f>IF(OR(G7="Branco",G7=0),"",G22)</f>
        <v/>
      </c>
      <c r="R10" s="2" t="str">
        <f>IF(OR(G7="Branco",G7=0),"",G7)</f>
        <v/>
      </c>
      <c r="S10" s="2"/>
      <c r="T10" s="2" t="str">
        <v/>
      </c>
      <c r="U10" s="2" t="str">
        <v/>
      </c>
      <c r="V10" s="2"/>
      <c r="W10" s="2"/>
      <c r="X10" s="2"/>
      <c r="Y10" s="2"/>
      <c r="Z10" s="2"/>
      <c r="AA10" s="2"/>
      <c r="AB10" s="2"/>
    </row>
    <row r="11" spans="1:28" ht="20.25" customHeight="1" thickBot="1" x14ac:dyDescent="0.35">
      <c r="C11" s="18" t="s">
        <v>221</v>
      </c>
      <c r="D11" s="45">
        <f>SUM(D8:D10)</f>
        <v>150</v>
      </c>
      <c r="E11" s="45">
        <f t="shared" ref="E11:I11" si="1">SUM(E8:E10)</f>
        <v>350</v>
      </c>
      <c r="F11" s="45">
        <f t="shared" si="1"/>
        <v>6</v>
      </c>
      <c r="G11" s="46">
        <f t="shared" si="1"/>
        <v>0</v>
      </c>
      <c r="H11" s="45">
        <f t="shared" si="1"/>
        <v>0</v>
      </c>
      <c r="I11" s="47">
        <f t="shared" si="1"/>
        <v>506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3"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6" customHeight="1" x14ac:dyDescent="0.3"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6.75" customHeight="1" x14ac:dyDescent="0.3"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8" ht="21" x14ac:dyDescent="0.3">
      <c r="C15" s="3" t="s">
        <v>200</v>
      </c>
      <c r="J15" s="3" t="s">
        <v>341</v>
      </c>
      <c r="Y15" s="2"/>
      <c r="Z15" s="2"/>
    </row>
    <row r="16" spans="1:28" ht="15" thickBot="1" x14ac:dyDescent="0.35">
      <c r="Y16" s="2"/>
      <c r="Z16" s="2"/>
    </row>
    <row r="17" spans="2:14" ht="24.9" customHeight="1" thickBot="1" x14ac:dyDescent="0.35">
      <c r="B17" s="12"/>
      <c r="C17" s="62" t="s">
        <v>207</v>
      </c>
      <c r="D17" s="63" t="s">
        <v>206</v>
      </c>
      <c r="E17" s="63"/>
      <c r="F17" s="63"/>
      <c r="G17" s="84"/>
      <c r="J17" s="62" t="s">
        <v>206</v>
      </c>
      <c r="K17" s="63"/>
      <c r="L17" s="63"/>
      <c r="M17" s="63"/>
      <c r="N17" s="26" t="s">
        <v>214</v>
      </c>
    </row>
    <row r="18" spans="2:14" ht="51" customHeight="1" x14ac:dyDescent="0.3">
      <c r="B18" s="12"/>
      <c r="C18" s="77"/>
      <c r="D18" s="6" t="str">
        <f>IF(D7="Branco",0,D7)</f>
        <v>(Ivelton) Ivelton Soares da Silva</v>
      </c>
      <c r="E18" s="6" t="str">
        <f t="shared" ref="E18:G18" si="2">IF(E7="Branco",0,E7)</f>
        <v>(RODRIGO CRUZ) Rodrigo Andrade da Cruz</v>
      </c>
      <c r="F18" s="6">
        <f t="shared" si="2"/>
        <v>0</v>
      </c>
      <c r="G18" s="13">
        <f t="shared" si="2"/>
        <v>0</v>
      </c>
      <c r="I18" s="48" t="s">
        <v>218</v>
      </c>
      <c r="J18" s="85" t="str">
        <f>VLOOKUP(N18,_xlfn.ANCHORARRAY(T7),2)</f>
        <v>(RODRIGO CRUZ) Rodrigo Andrade da Cruz</v>
      </c>
      <c r="K18" s="86"/>
      <c r="L18" s="86"/>
      <c r="M18" s="86"/>
      <c r="N18" s="27">
        <f>IF(COUNTA(D8:H10)=(VLOOKUP($H$3,campus!$A$2:$F$50,5)+1)*3,M5,"")</f>
        <v>47.466573047968396</v>
      </c>
    </row>
    <row r="19" spans="2:14" x14ac:dyDescent="0.3">
      <c r="B19" s="12"/>
      <c r="C19" s="9" t="str">
        <f>C8</f>
        <v>Discentes</v>
      </c>
      <c r="D19" s="31">
        <f>IF(OR(ISBLANK(D8),D$18=0),0,100*(1/3*(D8/$J8)))</f>
        <v>4.1921041921041917</v>
      </c>
      <c r="E19" s="31">
        <f>IF(OR(ISBLANK(E8),E$18=0),0,100*(1/3*(E8/$J8)))</f>
        <v>11.925111925111926</v>
      </c>
      <c r="F19" s="58">
        <f t="shared" ref="F19:G19" si="3">IF(OR(ISBLANK(F8),F$18=0),0,100*(1/3*(F8/$J8)))</f>
        <v>0</v>
      </c>
      <c r="G19" s="59">
        <f t="shared" si="3"/>
        <v>0</v>
      </c>
      <c r="I19" s="64" t="s">
        <v>219</v>
      </c>
      <c r="J19" s="65" t="str">
        <f>VLOOKUP(N19,_xlfn.ANCHORARRAY(T7),2)</f>
        <v>(Ivelton) Ivelton Soares da Silva</v>
      </c>
      <c r="K19" s="66"/>
      <c r="L19" s="66"/>
      <c r="M19" s="67"/>
      <c r="N19" s="71">
        <f>IF(COUNTA(D8:H10)=(VLOOKUP($H$3,campus!$A$2:$F$50,5)+1)*3,N5,"")</f>
        <v>32.251770623863649</v>
      </c>
    </row>
    <row r="20" spans="2:14" ht="18" customHeight="1" x14ac:dyDescent="0.3">
      <c r="B20" s="12"/>
      <c r="C20" s="9" t="str">
        <f>C9</f>
        <v>Docentes</v>
      </c>
      <c r="D20" s="31">
        <f t="shared" ref="D20:G21" si="4">IF(OR(ISBLANK(D9),D$18=0),0,100*(1/3*(D9/$J9)))</f>
        <v>15.656565656565657</v>
      </c>
      <c r="E20" s="31">
        <f t="shared" si="4"/>
        <v>16.161616161616159</v>
      </c>
      <c r="F20" s="58">
        <f t="shared" si="4"/>
        <v>0</v>
      </c>
      <c r="G20" s="59">
        <f t="shared" si="4"/>
        <v>0</v>
      </c>
      <c r="I20" s="64"/>
      <c r="J20" s="68"/>
      <c r="K20" s="69"/>
      <c r="L20" s="69"/>
      <c r="M20" s="70"/>
      <c r="N20" s="71"/>
    </row>
    <row r="21" spans="2:14" ht="19.5" customHeight="1" x14ac:dyDescent="0.3">
      <c r="B21" s="12"/>
      <c r="C21" s="9" t="str">
        <f>C10</f>
        <v>TAEs</v>
      </c>
      <c r="D21" s="31">
        <f t="shared" si="4"/>
        <v>12.403100775193799</v>
      </c>
      <c r="E21" s="31">
        <f t="shared" si="4"/>
        <v>19.379844961240313</v>
      </c>
      <c r="F21" s="58">
        <f t="shared" si="4"/>
        <v>0</v>
      </c>
      <c r="G21" s="59">
        <f t="shared" si="4"/>
        <v>0</v>
      </c>
      <c r="I21" s="64" t="s">
        <v>220</v>
      </c>
      <c r="J21" s="65" t="e">
        <f>VLOOKUP(N21,_xlfn.ANCHORARRAY(T7),2)</f>
        <v>#N/A</v>
      </c>
      <c r="K21" s="66"/>
      <c r="L21" s="66"/>
      <c r="M21" s="67"/>
      <c r="N21" s="71">
        <f>IF(COUNTA(D8:H10)=(VLOOKUP($H$3,campus!$A$2:$F$50,5)+1)*3,O5,"")</f>
        <v>0</v>
      </c>
    </row>
    <row r="22" spans="2:14" ht="16.5" customHeight="1" thickBot="1" x14ac:dyDescent="0.35">
      <c r="C22" s="23" t="s">
        <v>214</v>
      </c>
      <c r="D22" s="24">
        <f>SUM(D19:D21)</f>
        <v>32.251770623863649</v>
      </c>
      <c r="E22" s="24">
        <f>SUM(E19:E21)</f>
        <v>47.466573047968396</v>
      </c>
      <c r="F22" s="25">
        <f>SUM(F19:F21)</f>
        <v>0</v>
      </c>
      <c r="G22" s="25">
        <f>SUM(G19:G21)</f>
        <v>0</v>
      </c>
      <c r="I22" s="72"/>
      <c r="J22" s="73"/>
      <c r="K22" s="74"/>
      <c r="L22" s="74"/>
      <c r="M22" s="75"/>
      <c r="N22" s="76"/>
    </row>
    <row r="23" spans="2:14" x14ac:dyDescent="0.3">
      <c r="D23" s="2" t="str">
        <f>D18</f>
        <v>(Ivelton) Ivelton Soares da Silva</v>
      </c>
      <c r="E23" s="2" t="str">
        <f>E18</f>
        <v>(RODRIGO CRUZ) Rodrigo Andrade da Cruz</v>
      </c>
      <c r="F23" s="2">
        <f>F18</f>
        <v>0</v>
      </c>
    </row>
    <row r="24" spans="2:14" ht="23.4" x14ac:dyDescent="0.3">
      <c r="I24" s="5"/>
    </row>
    <row r="25" spans="2:14" ht="23.4" x14ac:dyDescent="0.3">
      <c r="I25" s="5"/>
    </row>
    <row r="28" spans="2:14" ht="24.9" customHeight="1" x14ac:dyDescent="0.3"/>
    <row r="29" spans="2:14" ht="33.9" customHeight="1" x14ac:dyDescent="0.3"/>
    <row r="30" spans="2:14" ht="33.9" customHeight="1" x14ac:dyDescent="0.3"/>
    <row r="31" spans="2:14" ht="33.9" customHeight="1" x14ac:dyDescent="0.3"/>
  </sheetData>
  <sheetProtection algorithmName="SHA-512" hashValue="nNCX8aY6xelYA9lHt0noRpHl4jVP12iAA3PAKzLrwxOU35VGKT8cE7c49088laj99arrWFaTDRZlQuGdM3ESCQ==" saltValue="hQdzp9ggoR1SKkTLYX9ytQ==" spinCount="100000" sheet="1" objects="1" scenarios="1"/>
  <mergeCells count="14">
    <mergeCell ref="B6:B7"/>
    <mergeCell ref="C6:C7"/>
    <mergeCell ref="D6:I6"/>
    <mergeCell ref="J6:J7"/>
    <mergeCell ref="C17:C18"/>
    <mergeCell ref="D17:G17"/>
    <mergeCell ref="J17:M17"/>
    <mergeCell ref="J18:M18"/>
    <mergeCell ref="I19:I20"/>
    <mergeCell ref="J19:M20"/>
    <mergeCell ref="N19:N20"/>
    <mergeCell ref="I21:I22"/>
    <mergeCell ref="J21:M22"/>
    <mergeCell ref="N21:N22"/>
  </mergeCells>
  <conditionalFormatting sqref="E7:E11">
    <cfRule type="expression" dxfId="77" priority="8">
      <formula>IF($E$7=0,1,0)</formula>
    </cfRule>
  </conditionalFormatting>
  <conditionalFormatting sqref="E18:E22 F19:G21">
    <cfRule type="expression" dxfId="76" priority="7">
      <formula>IF($E$18=0,1,0)</formula>
    </cfRule>
  </conditionalFormatting>
  <conditionalFormatting sqref="F7 F11">
    <cfRule type="expression" dxfId="75" priority="9">
      <formula>IF($F$7=0,1,0)</formula>
    </cfRule>
  </conditionalFormatting>
  <conditionalFormatting sqref="F8:F10">
    <cfRule type="expression" dxfId="74" priority="4">
      <formula>IF($F$7=0,1,0)</formula>
    </cfRule>
  </conditionalFormatting>
  <conditionalFormatting sqref="F18 F22">
    <cfRule type="expression" dxfId="73" priority="6">
      <formula>IF($F$18=0,1,0)</formula>
    </cfRule>
  </conditionalFormatting>
  <conditionalFormatting sqref="G7 G11">
    <cfRule type="expression" dxfId="72" priority="10">
      <formula>IF($G$7=0,1,0)</formula>
    </cfRule>
  </conditionalFormatting>
  <conditionalFormatting sqref="G8:G10">
    <cfRule type="expression" dxfId="71" priority="3">
      <formula>IF($G$7=0,1,0)</formula>
    </cfRule>
  </conditionalFormatting>
  <conditionalFormatting sqref="G18 G22">
    <cfRule type="expression" dxfId="70" priority="5">
      <formula>IF($G$18=0,1,0)</formula>
    </cfRule>
  </conditionalFormatting>
  <conditionalFormatting sqref="H7 H11">
    <cfRule type="expression" dxfId="69" priority="11">
      <formula>IF($H$7=0,1,0)</formula>
    </cfRule>
  </conditionalFormatting>
  <conditionalFormatting sqref="H8:H10">
    <cfRule type="expression" dxfId="68" priority="2">
      <formula>IF($H$7=0,1,0)</formula>
    </cfRule>
  </conditionalFormatting>
  <conditionalFormatting sqref="I25">
    <cfRule type="expression" dxfId="67" priority="1">
      <formula>IF(LEN(I24)&gt;2,TRUE,FALSE)</formula>
    </cfRule>
  </conditionalFormatting>
  <conditionalFormatting sqref="J18:M22">
    <cfRule type="expression" dxfId="66" priority="12">
      <formula>ISNONTEXT(J18)</formula>
    </cfRule>
  </conditionalFormatting>
  <pageMargins left="0.51181102362204722" right="0.51181102362204722" top="0.78740157480314965" bottom="0.78740157480314965" header="0.31496062992125984" footer="0.31496062992125984"/>
  <pageSetup paperSize="9" scale="6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36CB1-6DB7-48DF-AB96-9F20B2FB7DB4}">
  <sheetPr codeName="Planilha64">
    <tabColor theme="2" tint="-0.249977111117893"/>
  </sheetPr>
  <dimension ref="A1:AB31"/>
  <sheetViews>
    <sheetView showRowColHeaders="0" workbookViewId="0"/>
  </sheetViews>
  <sheetFormatPr defaultColWidth="9.109375" defaultRowHeight="14.4" x14ac:dyDescent="0.3"/>
  <cols>
    <col min="1" max="2" width="9.109375" style="1"/>
    <col min="3" max="3" width="15.44140625" style="1" customWidth="1"/>
    <col min="4" max="7" width="25.6640625" style="1" customWidth="1"/>
    <col min="8" max="9" width="10.6640625" style="1" customWidth="1"/>
    <col min="10" max="10" width="18.5546875" style="1" bestFit="1" customWidth="1"/>
    <col min="11" max="16384" width="9.109375" style="1"/>
  </cols>
  <sheetData>
    <row r="1" spans="1:28" x14ac:dyDescent="0.3">
      <c r="A1" s="2">
        <v>1</v>
      </c>
    </row>
    <row r="2" spans="1:28" ht="28.8" x14ac:dyDescent="0.3">
      <c r="B2" s="4" t="s">
        <v>344</v>
      </c>
    </row>
    <row r="3" spans="1:28" ht="23.4" x14ac:dyDescent="0.3">
      <c r="B3" s="5" t="str">
        <f>_xlfn.CONCAT("Diretor-Geral de Campus: ",VLOOKUP($H$3,campus!$A$2:$C$50,3))</f>
        <v>Diretor-Geral de Campus: Jacareí</v>
      </c>
      <c r="H3" s="1">
        <v>17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3"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" thickBot="1" x14ac:dyDescent="0.35">
      <c r="L5" s="2"/>
      <c r="M5" s="2">
        <f>LARGE(D22:G22,1)</f>
        <v>40.840324472836592</v>
      </c>
      <c r="N5" s="2">
        <f>LARGE(D22:G22,2)</f>
        <v>32.305886551123365</v>
      </c>
      <c r="O5" s="2">
        <f>LARGE(D22:G22,3)</f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24.9" customHeight="1" x14ac:dyDescent="0.3">
      <c r="B6" s="62" t="s">
        <v>9</v>
      </c>
      <c r="C6" s="63" t="s">
        <v>207</v>
      </c>
      <c r="D6" s="79" t="s">
        <v>197</v>
      </c>
      <c r="E6" s="80"/>
      <c r="F6" s="80"/>
      <c r="G6" s="80"/>
      <c r="H6" s="80"/>
      <c r="I6" s="81"/>
      <c r="J6" s="82" t="s">
        <v>205</v>
      </c>
      <c r="L6" s="2"/>
      <c r="M6" s="2" t="s">
        <v>215</v>
      </c>
      <c r="N6" s="2" t="s">
        <v>216</v>
      </c>
      <c r="O6" s="2" t="s">
        <v>217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62.25" customHeight="1" x14ac:dyDescent="0.3">
      <c r="B7" s="77"/>
      <c r="C7" s="78"/>
      <c r="D7" s="6" t="str">
        <f>VLOOKUP($H$3,campus!$A$2:$P$50,6)</f>
        <v>(Giorgia Suzumura) Giorgia Yoshiko Rossignolo Suzumura Becker</v>
      </c>
      <c r="E7" s="6" t="str">
        <f>VLOOKUP($H$3,campus!$A$2:$P$50,7)</f>
        <v>(Mauri Rodrigues) Mauri Rodrigues</v>
      </c>
      <c r="F7" s="6" t="str">
        <f>VLOOKUP($H$3,campus!$A$2:$P$50,9)</f>
        <v>Branco</v>
      </c>
      <c r="G7" s="6"/>
      <c r="H7" s="7">
        <f>VLOOKUP($H$3,campus!$A$2:$P$50,10)</f>
        <v>0</v>
      </c>
      <c r="I7" s="6" t="s">
        <v>210</v>
      </c>
      <c r="J7" s="83"/>
      <c r="L7" s="2"/>
      <c r="M7" s="2"/>
      <c r="N7" s="2"/>
      <c r="O7" s="2"/>
      <c r="P7" s="2"/>
      <c r="Q7" s="44">
        <f>IF(OR(D7="Branco",D7=0),"",D22)</f>
        <v>40.840324472836592</v>
      </c>
      <c r="R7" s="2" t="str">
        <f>IF(OR(D7="Branco",D7=0),"",D7)</f>
        <v>(Giorgia Suzumura) Giorgia Yoshiko Rossignolo Suzumura Becker</v>
      </c>
      <c r="S7" s="2"/>
      <c r="T7" s="2" cm="1">
        <f t="array" ref="T7:U10">_xlfn.SORTBY(Q7:R10,Q7:Q10,1)</f>
        <v>32.305886551123365</v>
      </c>
      <c r="U7" s="2" t="str">
        <v>(Mauri Rodrigues) Mauri Rodrigues</v>
      </c>
      <c r="V7" s="2"/>
      <c r="W7" s="2"/>
      <c r="X7" s="2"/>
      <c r="Y7" s="2"/>
      <c r="Z7" s="2"/>
      <c r="AA7" s="2"/>
      <c r="AB7" s="2"/>
    </row>
    <row r="8" spans="1:28" ht="23.25" customHeight="1" x14ac:dyDescent="0.3">
      <c r="B8" s="9" t="str">
        <f>VLOOKUP(3*$H$3-2,urnas!$B$6:$D$150,2)</f>
        <v>Urna 049</v>
      </c>
      <c r="C8" s="21" t="str">
        <f>VLOOKUP(3*$H$3-2,urnas!$B$6:$D$150,3)</f>
        <v>Discentes</v>
      </c>
      <c r="D8" s="150">
        <v>273</v>
      </c>
      <c r="E8" s="150">
        <v>238</v>
      </c>
      <c r="F8" s="150">
        <v>7</v>
      </c>
      <c r="G8" s="60">
        <v>0</v>
      </c>
      <c r="H8" s="17"/>
      <c r="I8" s="8">
        <f t="shared" ref="I8:I10" si="0">SUM(D8:H8)</f>
        <v>518</v>
      </c>
      <c r="J8" s="15">
        <f>VLOOKUP(B8,urnas!$C$6:$H$150,6)</f>
        <v>1201</v>
      </c>
      <c r="L8" s="2"/>
      <c r="M8" s="2"/>
      <c r="N8" s="2"/>
      <c r="O8" s="2"/>
      <c r="P8" s="2"/>
      <c r="Q8" s="44">
        <f>IF(OR(E7="Branco",E7=0),"",E22)</f>
        <v>32.305886551123365</v>
      </c>
      <c r="R8" s="2" t="str">
        <f>IF(OR(E7="Branco",E7=0),"",E7)</f>
        <v>(Mauri Rodrigues) Mauri Rodrigues</v>
      </c>
      <c r="S8" s="2"/>
      <c r="T8" s="2">
        <v>40.840324472836592</v>
      </c>
      <c r="U8" s="2" t="str">
        <v>(Giorgia Suzumura) Giorgia Yoshiko Rossignolo Suzumura Becker</v>
      </c>
      <c r="V8" s="2"/>
      <c r="W8" s="2"/>
      <c r="X8" s="2"/>
      <c r="Y8" s="2"/>
      <c r="Z8" s="2"/>
      <c r="AA8" s="2"/>
      <c r="AB8" s="2"/>
    </row>
    <row r="9" spans="1:28" ht="21.75" customHeight="1" x14ac:dyDescent="0.3">
      <c r="B9" s="9" t="str">
        <f>VLOOKUP(3*$H$3-1,urnas!$B$6:$D$150,2)</f>
        <v>Urna 050</v>
      </c>
      <c r="C9" s="21" t="str">
        <f>VLOOKUP(3*$H$3-1,urnas!$B$6:$D$150,3)</f>
        <v>Docentes</v>
      </c>
      <c r="D9" s="150">
        <v>29</v>
      </c>
      <c r="E9" s="150">
        <v>33</v>
      </c>
      <c r="F9" s="150">
        <v>2</v>
      </c>
      <c r="G9" s="60">
        <v>0</v>
      </c>
      <c r="H9" s="17"/>
      <c r="I9" s="8">
        <f t="shared" si="0"/>
        <v>64</v>
      </c>
      <c r="J9" s="15">
        <f>VLOOKUP(B9,urnas!$C$6:$H$150,6)</f>
        <v>68</v>
      </c>
      <c r="L9" s="2"/>
      <c r="M9" s="2"/>
      <c r="N9" s="2"/>
      <c r="O9" s="2"/>
      <c r="P9" s="2"/>
      <c r="Q9" s="44" t="str">
        <f>IF(OR(F7="Branco",F7=0),"",F22)</f>
        <v/>
      </c>
      <c r="R9" s="2" t="str">
        <f>IF(OR(F7="Branco",F7=0),"",F7)</f>
        <v/>
      </c>
      <c r="S9" s="2"/>
      <c r="T9" s="2" t="str">
        <v/>
      </c>
      <c r="U9" s="2" t="str">
        <v/>
      </c>
      <c r="V9" s="2"/>
      <c r="W9" s="2"/>
      <c r="X9" s="2"/>
      <c r="Y9" s="2"/>
      <c r="Z9" s="2"/>
      <c r="AA9" s="2"/>
      <c r="AB9" s="2"/>
    </row>
    <row r="10" spans="1:28" ht="21" customHeight="1" thickBot="1" x14ac:dyDescent="0.35">
      <c r="B10" s="10" t="str">
        <f>VLOOKUP(3*$H$3,urnas!$B$6:$D$150,2)</f>
        <v>Urna 051</v>
      </c>
      <c r="C10" s="22" t="str">
        <f>VLOOKUP(3*$H$3,urnas!$B$6:$D$150,3)</f>
        <v>TAEs</v>
      </c>
      <c r="D10" s="150">
        <v>24</v>
      </c>
      <c r="E10" s="150">
        <v>12</v>
      </c>
      <c r="F10" s="150">
        <v>1</v>
      </c>
      <c r="G10" s="60">
        <v>0</v>
      </c>
      <c r="H10" s="17"/>
      <c r="I10" s="11">
        <f t="shared" si="0"/>
        <v>37</v>
      </c>
      <c r="J10" s="16">
        <f>VLOOKUP(B10,urnas!$C$6:$H$150,6)</f>
        <v>42</v>
      </c>
      <c r="L10" s="2"/>
      <c r="M10" s="2"/>
      <c r="N10" s="2"/>
      <c r="O10" s="2"/>
      <c r="P10" s="2"/>
      <c r="Q10" s="44" t="str">
        <f>IF(OR(G7="Branco",G7=0),"",G22)</f>
        <v/>
      </c>
      <c r="R10" s="2" t="str">
        <f>IF(OR(G7="Branco",G7=0),"",G7)</f>
        <v/>
      </c>
      <c r="S10" s="2"/>
      <c r="T10" s="2" t="str">
        <v/>
      </c>
      <c r="U10" s="2" t="str">
        <v/>
      </c>
      <c r="V10" s="2"/>
      <c r="W10" s="2"/>
      <c r="X10" s="2"/>
      <c r="Y10" s="2"/>
      <c r="Z10" s="2"/>
      <c r="AA10" s="2"/>
      <c r="AB10" s="2"/>
    </row>
    <row r="11" spans="1:28" ht="20.25" customHeight="1" thickBot="1" x14ac:dyDescent="0.35">
      <c r="C11" s="18" t="s">
        <v>221</v>
      </c>
      <c r="D11" s="45">
        <f>SUM(D8:D10)</f>
        <v>326</v>
      </c>
      <c r="E11" s="45">
        <f t="shared" ref="E11:I11" si="1">SUM(E8:E10)</f>
        <v>283</v>
      </c>
      <c r="F11" s="45">
        <f t="shared" si="1"/>
        <v>10</v>
      </c>
      <c r="G11" s="46">
        <f t="shared" si="1"/>
        <v>0</v>
      </c>
      <c r="H11" s="45">
        <f t="shared" si="1"/>
        <v>0</v>
      </c>
      <c r="I11" s="47">
        <f t="shared" si="1"/>
        <v>619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3"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6" customHeight="1" x14ac:dyDescent="0.3"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6.75" customHeight="1" x14ac:dyDescent="0.3"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8" ht="21" x14ac:dyDescent="0.3">
      <c r="C15" s="3" t="s">
        <v>200</v>
      </c>
      <c r="J15" s="3" t="s">
        <v>341</v>
      </c>
      <c r="Y15" s="2"/>
      <c r="Z15" s="2"/>
    </row>
    <row r="16" spans="1:28" ht="15" thickBot="1" x14ac:dyDescent="0.35">
      <c r="Y16" s="2"/>
      <c r="Z16" s="2"/>
    </row>
    <row r="17" spans="2:14" ht="24.9" customHeight="1" thickBot="1" x14ac:dyDescent="0.35">
      <c r="B17" s="12"/>
      <c r="C17" s="62" t="s">
        <v>207</v>
      </c>
      <c r="D17" s="63" t="s">
        <v>206</v>
      </c>
      <c r="E17" s="63"/>
      <c r="F17" s="63"/>
      <c r="G17" s="84"/>
      <c r="J17" s="62" t="s">
        <v>206</v>
      </c>
      <c r="K17" s="63"/>
      <c r="L17" s="63"/>
      <c r="M17" s="63"/>
      <c r="N17" s="26" t="s">
        <v>214</v>
      </c>
    </row>
    <row r="18" spans="2:14" ht="60" customHeight="1" x14ac:dyDescent="0.3">
      <c r="B18" s="12"/>
      <c r="C18" s="77"/>
      <c r="D18" s="6" t="str">
        <f>IF(D7="Branco",0,D7)</f>
        <v>(Giorgia Suzumura) Giorgia Yoshiko Rossignolo Suzumura Becker</v>
      </c>
      <c r="E18" s="6" t="str">
        <f t="shared" ref="E18:G18" si="2">IF(E7="Branco",0,E7)</f>
        <v>(Mauri Rodrigues) Mauri Rodrigues</v>
      </c>
      <c r="F18" s="6">
        <f t="shared" si="2"/>
        <v>0</v>
      </c>
      <c r="G18" s="13">
        <f t="shared" si="2"/>
        <v>0</v>
      </c>
      <c r="I18" s="48" t="s">
        <v>218</v>
      </c>
      <c r="J18" s="85" t="str">
        <f>VLOOKUP(N18,_xlfn.ANCHORARRAY(T7),2)</f>
        <v>(Giorgia Suzumura) Giorgia Yoshiko Rossignolo Suzumura Becker</v>
      </c>
      <c r="K18" s="86"/>
      <c r="L18" s="86"/>
      <c r="M18" s="86"/>
      <c r="N18" s="27">
        <f>IF(COUNTA(D8:H10)=(VLOOKUP($H$3,campus!$A$2:$F$50,5)+1)*3,M5,"")</f>
        <v>40.840324472836592</v>
      </c>
    </row>
    <row r="19" spans="2:14" x14ac:dyDescent="0.3">
      <c r="B19" s="12"/>
      <c r="C19" s="9" t="str">
        <f>C8</f>
        <v>Discentes</v>
      </c>
      <c r="D19" s="31">
        <f>IF(OR(ISBLANK(D8),D$18=0),0,100*(1/3*(D8/$J8)))</f>
        <v>7.5770191507077422</v>
      </c>
      <c r="E19" s="31">
        <f>IF(OR(ISBLANK(E8),E$18=0),0,100*(1/3*(E8/$J8)))</f>
        <v>6.6056064390785458</v>
      </c>
      <c r="F19" s="58">
        <f t="shared" ref="F19:G19" si="3">IF(OR(ISBLANK(F8),F$18=0),0,100*(1/3*(F8/$J8)))</f>
        <v>0</v>
      </c>
      <c r="G19" s="59">
        <f t="shared" si="3"/>
        <v>0</v>
      </c>
      <c r="I19" s="64" t="s">
        <v>219</v>
      </c>
      <c r="J19" s="65" t="str">
        <f>VLOOKUP(N19,_xlfn.ANCHORARRAY(T7),2)</f>
        <v>(Mauri Rodrigues) Mauri Rodrigues</v>
      </c>
      <c r="K19" s="66"/>
      <c r="L19" s="66"/>
      <c r="M19" s="67"/>
      <c r="N19" s="71">
        <f>IF(COUNTA(D8:H10)=(VLOOKUP($H$3,campus!$A$2:$F$50,5)+1)*3,N5,"")</f>
        <v>32.305886551123365</v>
      </c>
    </row>
    <row r="20" spans="2:14" ht="18" customHeight="1" x14ac:dyDescent="0.3">
      <c r="B20" s="12"/>
      <c r="C20" s="9" t="str">
        <f>C9</f>
        <v>Docentes</v>
      </c>
      <c r="D20" s="31">
        <f t="shared" ref="D20:G21" si="4">IF(OR(ISBLANK(D9),D$18=0),0,100*(1/3*(D9/$J9)))</f>
        <v>14.215686274509803</v>
      </c>
      <c r="E20" s="31">
        <f t="shared" si="4"/>
        <v>16.176470588235293</v>
      </c>
      <c r="F20" s="58">
        <f t="shared" si="4"/>
        <v>0</v>
      </c>
      <c r="G20" s="59">
        <f t="shared" si="4"/>
        <v>0</v>
      </c>
      <c r="I20" s="64"/>
      <c r="J20" s="68"/>
      <c r="K20" s="69"/>
      <c r="L20" s="69"/>
      <c r="M20" s="70"/>
      <c r="N20" s="71"/>
    </row>
    <row r="21" spans="2:14" ht="19.5" customHeight="1" x14ac:dyDescent="0.3">
      <c r="B21" s="12"/>
      <c r="C21" s="9" t="str">
        <f>C10</f>
        <v>TAEs</v>
      </c>
      <c r="D21" s="31">
        <f t="shared" si="4"/>
        <v>19.047619047619047</v>
      </c>
      <c r="E21" s="31">
        <f t="shared" si="4"/>
        <v>9.5238095238095237</v>
      </c>
      <c r="F21" s="58">
        <f t="shared" si="4"/>
        <v>0</v>
      </c>
      <c r="G21" s="59">
        <f t="shared" si="4"/>
        <v>0</v>
      </c>
      <c r="I21" s="64" t="s">
        <v>220</v>
      </c>
      <c r="J21" s="65" t="e">
        <f>VLOOKUP(N21,_xlfn.ANCHORARRAY(T7),2)</f>
        <v>#N/A</v>
      </c>
      <c r="K21" s="66"/>
      <c r="L21" s="66"/>
      <c r="M21" s="67"/>
      <c r="N21" s="71">
        <f>IF(COUNTA(D8:H10)=(VLOOKUP($H$3,campus!$A$2:$F$50,5)+1)*3,O5,"")</f>
        <v>0</v>
      </c>
    </row>
    <row r="22" spans="2:14" ht="16.5" customHeight="1" thickBot="1" x14ac:dyDescent="0.35">
      <c r="C22" s="23" t="s">
        <v>214</v>
      </c>
      <c r="D22" s="24">
        <f>SUM(D19:D21)</f>
        <v>40.840324472836592</v>
      </c>
      <c r="E22" s="24">
        <f>SUM(E19:E21)</f>
        <v>32.305886551123365</v>
      </c>
      <c r="F22" s="25">
        <f>SUM(F19:F21)</f>
        <v>0</v>
      </c>
      <c r="G22" s="25">
        <f>SUM(G19:G21)</f>
        <v>0</v>
      </c>
      <c r="I22" s="72"/>
      <c r="J22" s="73"/>
      <c r="K22" s="74"/>
      <c r="L22" s="74"/>
      <c r="M22" s="75"/>
      <c r="N22" s="76"/>
    </row>
    <row r="23" spans="2:14" x14ac:dyDescent="0.3">
      <c r="D23" s="2" t="str">
        <f>D18</f>
        <v>(Giorgia Suzumura) Giorgia Yoshiko Rossignolo Suzumura Becker</v>
      </c>
      <c r="E23" s="2" t="str">
        <f>E18</f>
        <v>(Mauri Rodrigues) Mauri Rodrigues</v>
      </c>
      <c r="F23" s="2">
        <f>F18</f>
        <v>0</v>
      </c>
    </row>
    <row r="24" spans="2:14" ht="23.4" x14ac:dyDescent="0.3">
      <c r="I24" s="5"/>
    </row>
    <row r="25" spans="2:14" ht="23.4" x14ac:dyDescent="0.3">
      <c r="I25" s="5"/>
    </row>
    <row r="28" spans="2:14" ht="24.9" customHeight="1" x14ac:dyDescent="0.3"/>
    <row r="29" spans="2:14" ht="33.9" customHeight="1" x14ac:dyDescent="0.3"/>
    <row r="30" spans="2:14" ht="33.9" customHeight="1" x14ac:dyDescent="0.3"/>
    <row r="31" spans="2:14" ht="33.9" customHeight="1" x14ac:dyDescent="0.3"/>
  </sheetData>
  <sheetProtection algorithmName="SHA-512" hashValue="IB0tl8oSdByKD+crxjXwSrAfMOXJ4rYhohKVwzTcyEcKpusi0PasS6jsqQp4+C3K2XFsbFfoBkD1vWnFVSTd/g==" saltValue="UA5rKBXbQHrdmUFox02/9g==" spinCount="100000" sheet="1" objects="1" scenarios="1"/>
  <mergeCells count="14">
    <mergeCell ref="B6:B7"/>
    <mergeCell ref="C6:C7"/>
    <mergeCell ref="D6:I6"/>
    <mergeCell ref="J6:J7"/>
    <mergeCell ref="C17:C18"/>
    <mergeCell ref="D17:G17"/>
    <mergeCell ref="J17:M17"/>
    <mergeCell ref="J18:M18"/>
    <mergeCell ref="I19:I20"/>
    <mergeCell ref="J19:M20"/>
    <mergeCell ref="N19:N20"/>
    <mergeCell ref="I21:I22"/>
    <mergeCell ref="J21:M22"/>
    <mergeCell ref="N21:N22"/>
  </mergeCells>
  <conditionalFormatting sqref="E7:E11">
    <cfRule type="expression" dxfId="65" priority="8">
      <formula>IF($E$7=0,1,0)</formula>
    </cfRule>
  </conditionalFormatting>
  <conditionalFormatting sqref="E18:E22 F19:G21">
    <cfRule type="expression" dxfId="64" priority="7">
      <formula>IF($E$18=0,1,0)</formula>
    </cfRule>
  </conditionalFormatting>
  <conditionalFormatting sqref="F7 F11">
    <cfRule type="expression" dxfId="63" priority="9">
      <formula>IF($F$7=0,1,0)</formula>
    </cfRule>
  </conditionalFormatting>
  <conditionalFormatting sqref="F8:F10">
    <cfRule type="expression" dxfId="62" priority="4">
      <formula>IF($F$7=0,1,0)</formula>
    </cfRule>
  </conditionalFormatting>
  <conditionalFormatting sqref="F18 F22">
    <cfRule type="expression" dxfId="61" priority="6">
      <formula>IF($F$18=0,1,0)</formula>
    </cfRule>
  </conditionalFormatting>
  <conditionalFormatting sqref="G7 G11">
    <cfRule type="expression" dxfId="60" priority="10">
      <formula>IF($G$7=0,1,0)</formula>
    </cfRule>
  </conditionalFormatting>
  <conditionalFormatting sqref="G8:G10">
    <cfRule type="expression" dxfId="59" priority="3">
      <formula>IF($G$7=0,1,0)</formula>
    </cfRule>
  </conditionalFormatting>
  <conditionalFormatting sqref="G18 G22">
    <cfRule type="expression" dxfId="58" priority="5">
      <formula>IF($G$18=0,1,0)</formula>
    </cfRule>
  </conditionalFormatting>
  <conditionalFormatting sqref="H7 H11">
    <cfRule type="expression" dxfId="57" priority="11">
      <formula>IF($H$7=0,1,0)</formula>
    </cfRule>
  </conditionalFormatting>
  <conditionalFormatting sqref="H8:H10">
    <cfRule type="expression" dxfId="56" priority="2">
      <formula>IF($H$7=0,1,0)</formula>
    </cfRule>
  </conditionalFormatting>
  <conditionalFormatting sqref="I25">
    <cfRule type="expression" dxfId="55" priority="1">
      <formula>IF(LEN(I24)&gt;2,TRUE,FALSE)</formula>
    </cfRule>
  </conditionalFormatting>
  <conditionalFormatting sqref="J18:M22">
    <cfRule type="expression" dxfId="54" priority="12">
      <formula>ISNONTEXT(J18)</formula>
    </cfRule>
  </conditionalFormatting>
  <pageMargins left="0.51181102362204722" right="0.51181102362204722" top="0.78740157480314965" bottom="0.78740157480314965" header="0.31496062992125984" footer="0.31496062992125984"/>
  <pageSetup paperSize="9" scale="6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D17CA-ECB3-4369-9FEF-AD32164C178F}">
  <sheetPr codeName="Planilha53">
    <tabColor theme="2" tint="-0.249977111117893"/>
  </sheetPr>
  <dimension ref="A1:AB31"/>
  <sheetViews>
    <sheetView showRowColHeaders="0" workbookViewId="0">
      <selection activeCell="E22" sqref="E22"/>
    </sheetView>
  </sheetViews>
  <sheetFormatPr defaultColWidth="9.109375" defaultRowHeight="14.4" x14ac:dyDescent="0.3"/>
  <cols>
    <col min="1" max="2" width="9.109375" style="1"/>
    <col min="3" max="3" width="15.44140625" style="1" customWidth="1"/>
    <col min="4" max="7" width="25.6640625" style="1" customWidth="1"/>
    <col min="8" max="9" width="10.6640625" style="1" customWidth="1"/>
    <col min="10" max="10" width="18.5546875" style="1" bestFit="1" customWidth="1"/>
    <col min="11" max="16384" width="9.109375" style="1"/>
  </cols>
  <sheetData>
    <row r="1" spans="1:28" x14ac:dyDescent="0.3">
      <c r="A1" s="2">
        <v>1</v>
      </c>
    </row>
    <row r="2" spans="1:28" ht="28.8" x14ac:dyDescent="0.3">
      <c r="B2" s="4" t="s">
        <v>344</v>
      </c>
    </row>
    <row r="3" spans="1:28" ht="23.4" x14ac:dyDescent="0.3">
      <c r="B3" s="5" t="str">
        <f>_xlfn.CONCAT("Diretor-Geral de Campus: ",VLOOKUP($H$3,campus!$A$2:$C$50,3))</f>
        <v>Diretor-Geral de Campus: Bragança Paulista</v>
      </c>
      <c r="H3" s="1">
        <v>6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3"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" thickBot="1" x14ac:dyDescent="0.35">
      <c r="L5" s="2"/>
      <c r="M5" s="2">
        <f>LARGE(D22:G22,1)</f>
        <v>35.156548877479111</v>
      </c>
      <c r="N5" s="2">
        <f>LARGE(D22:G22,2)</f>
        <v>35.140105372663513</v>
      </c>
      <c r="O5" s="2">
        <f>LARGE(D22:G22,3)</f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24.9" customHeight="1" x14ac:dyDescent="0.3">
      <c r="B6" s="62" t="s">
        <v>9</v>
      </c>
      <c r="C6" s="63" t="s">
        <v>207</v>
      </c>
      <c r="D6" s="79" t="s">
        <v>197</v>
      </c>
      <c r="E6" s="80"/>
      <c r="F6" s="80"/>
      <c r="G6" s="80"/>
      <c r="H6" s="80"/>
      <c r="I6" s="81"/>
      <c r="J6" s="82" t="s">
        <v>205</v>
      </c>
      <c r="L6" s="2"/>
      <c r="M6" s="2" t="s">
        <v>215</v>
      </c>
      <c r="N6" s="2" t="s">
        <v>216</v>
      </c>
      <c r="O6" s="2" t="s">
        <v>217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51" customHeight="1" x14ac:dyDescent="0.3">
      <c r="B7" s="77"/>
      <c r="C7" s="78"/>
      <c r="D7" s="6" t="str">
        <f>VLOOKUP($H$3,campus!$A$2:$P$50,6)</f>
        <v>(Alessandra TAE) Alessandra Casimiro de Souza</v>
      </c>
      <c r="E7" s="6" t="str">
        <f>VLOOKUP($H$3,campus!$A$2:$P$50,7)</f>
        <v>(Jefferson de Souza Pinto) Jefferson de Souza Pinto</v>
      </c>
      <c r="F7" s="6" t="str">
        <f>VLOOKUP($H$3,campus!$A$2:$P$50,9)</f>
        <v>Branco</v>
      </c>
      <c r="G7" s="6"/>
      <c r="H7" s="7">
        <f>VLOOKUP($H$3,campus!$A$2:$P$50,10)</f>
        <v>0</v>
      </c>
      <c r="I7" s="6" t="s">
        <v>210</v>
      </c>
      <c r="J7" s="83"/>
      <c r="L7" s="2"/>
      <c r="M7" s="2"/>
      <c r="N7" s="2"/>
      <c r="O7" s="2"/>
      <c r="P7" s="2"/>
      <c r="Q7" s="44">
        <f>IF(OR(D7="Branco",D7=0),"",D22)</f>
        <v>35.156548877479111</v>
      </c>
      <c r="R7" s="2" t="str">
        <f>IF(OR(D7="Branco",D7=0),"",D7)</f>
        <v>(Alessandra TAE) Alessandra Casimiro de Souza</v>
      </c>
      <c r="S7" s="2"/>
      <c r="T7" s="2" cm="1">
        <f t="array" ref="T7:U10">_xlfn.SORTBY(Q7:R10,Q7:Q10,1)</f>
        <v>35.140105372663513</v>
      </c>
      <c r="U7" s="2" t="str">
        <v>(Jefferson de Souza Pinto) Jefferson de Souza Pinto</v>
      </c>
      <c r="V7" s="2"/>
      <c r="W7" s="2"/>
      <c r="X7" s="2"/>
      <c r="Y7" s="2"/>
      <c r="Z7" s="2"/>
      <c r="AA7" s="2"/>
      <c r="AB7" s="2"/>
    </row>
    <row r="8" spans="1:28" ht="23.25" customHeight="1" x14ac:dyDescent="0.3">
      <c r="B8" s="9" t="str">
        <f>VLOOKUP(3*$H$3-2,urnas!$B$6:$D$150,2)</f>
        <v>Urna 016</v>
      </c>
      <c r="C8" s="21" t="str">
        <f>VLOOKUP(3*$H$3-2,urnas!$B$6:$D$150,3)</f>
        <v>Discentes</v>
      </c>
      <c r="D8" s="150">
        <v>120</v>
      </c>
      <c r="E8" s="150">
        <v>236</v>
      </c>
      <c r="F8" s="150">
        <v>17</v>
      </c>
      <c r="G8" s="60">
        <v>0</v>
      </c>
      <c r="H8" s="17"/>
      <c r="I8" s="8">
        <f t="shared" ref="I8:I10" si="0">SUM(D8:H8)</f>
        <v>373</v>
      </c>
      <c r="J8" s="15">
        <f>VLOOKUP(B8,urnas!$C$6:$H$150,6)</f>
        <v>1320</v>
      </c>
      <c r="L8" s="2"/>
      <c r="M8" s="2"/>
      <c r="N8" s="2"/>
      <c r="O8" s="2"/>
      <c r="P8" s="2"/>
      <c r="Q8" s="44">
        <f>IF(OR(E7="Branco",E7=0),"",E22)</f>
        <v>35.140105372663513</v>
      </c>
      <c r="R8" s="2" t="str">
        <f>IF(OR(E7="Branco",E7=0),"",E7)</f>
        <v>(Jefferson de Souza Pinto) Jefferson de Souza Pinto</v>
      </c>
      <c r="S8" s="2"/>
      <c r="T8" s="2">
        <v>35.156548877479111</v>
      </c>
      <c r="U8" s="2" t="str">
        <v>(Alessandra TAE) Alessandra Casimiro de Souza</v>
      </c>
      <c r="V8" s="2"/>
      <c r="W8" s="2"/>
      <c r="X8" s="2"/>
      <c r="Y8" s="2"/>
      <c r="Z8" s="2"/>
      <c r="AA8" s="2"/>
      <c r="AB8" s="2"/>
    </row>
    <row r="9" spans="1:28" ht="21.75" customHeight="1" x14ac:dyDescent="0.3">
      <c r="B9" s="9" t="str">
        <f>VLOOKUP(3*$H$3-1,urnas!$B$6:$D$150,2)</f>
        <v>Urna 017</v>
      </c>
      <c r="C9" s="21" t="str">
        <f>VLOOKUP(3*$H$3-1,urnas!$B$6:$D$150,3)</f>
        <v>Docentes</v>
      </c>
      <c r="D9" s="150">
        <v>17</v>
      </c>
      <c r="E9" s="150">
        <v>45</v>
      </c>
      <c r="F9" s="150">
        <v>0</v>
      </c>
      <c r="G9" s="60">
        <v>0</v>
      </c>
      <c r="H9" s="17"/>
      <c r="I9" s="8">
        <f t="shared" si="0"/>
        <v>62</v>
      </c>
      <c r="J9" s="15">
        <f>VLOOKUP(B9,urnas!$C$6:$H$150,6)</f>
        <v>70</v>
      </c>
      <c r="L9" s="2"/>
      <c r="M9" s="2"/>
      <c r="N9" s="2"/>
      <c r="O9" s="2"/>
      <c r="P9" s="2"/>
      <c r="Q9" s="44" t="str">
        <f>IF(OR(F7="Branco",F7=0),"",F22)</f>
        <v/>
      </c>
      <c r="R9" s="2" t="str">
        <f>IF(OR(F7="Branco",F7=0),"",F7)</f>
        <v/>
      </c>
      <c r="S9" s="2"/>
      <c r="T9" s="2" t="str">
        <v/>
      </c>
      <c r="U9" s="2" t="str">
        <v/>
      </c>
      <c r="V9" s="2"/>
      <c r="W9" s="2"/>
      <c r="X9" s="2"/>
      <c r="Y9" s="2"/>
      <c r="Z9" s="2"/>
      <c r="AA9" s="2"/>
      <c r="AB9" s="2"/>
    </row>
    <row r="10" spans="1:28" ht="21" customHeight="1" thickBot="1" x14ac:dyDescent="0.35">
      <c r="B10" s="10" t="str">
        <f>VLOOKUP(3*$H$3,urnas!$B$6:$D$150,2)</f>
        <v>Urna 018</v>
      </c>
      <c r="C10" s="22" t="str">
        <f>VLOOKUP(3*$H$3,urnas!$B$6:$D$150,3)</f>
        <v>TAEs</v>
      </c>
      <c r="D10" s="150">
        <v>31</v>
      </c>
      <c r="E10" s="150">
        <v>10</v>
      </c>
      <c r="F10" s="150">
        <v>0</v>
      </c>
      <c r="G10" s="60">
        <v>0</v>
      </c>
      <c r="H10" s="17"/>
      <c r="I10" s="11">
        <f t="shared" si="0"/>
        <v>41</v>
      </c>
      <c r="J10" s="16">
        <f>VLOOKUP(B10,urnas!$C$6:$H$150,6)</f>
        <v>43</v>
      </c>
      <c r="L10" s="2"/>
      <c r="M10" s="2"/>
      <c r="N10" s="2"/>
      <c r="O10" s="2"/>
      <c r="P10" s="2"/>
      <c r="Q10" s="44" t="str">
        <f>IF(OR(G7="Branco",G7=0),"",G22)</f>
        <v/>
      </c>
      <c r="R10" s="2" t="str">
        <f>IF(OR(G7="Branco",G7=0),"",G7)</f>
        <v/>
      </c>
      <c r="S10" s="2"/>
      <c r="T10" s="2" t="str">
        <v/>
      </c>
      <c r="U10" s="2" t="str">
        <v/>
      </c>
      <c r="V10" s="2"/>
      <c r="W10" s="2"/>
      <c r="X10" s="2"/>
      <c r="Y10" s="2"/>
      <c r="Z10" s="2"/>
      <c r="AA10" s="2"/>
      <c r="AB10" s="2"/>
    </row>
    <row r="11" spans="1:28" ht="20.25" customHeight="1" thickBot="1" x14ac:dyDescent="0.35">
      <c r="C11" s="18" t="s">
        <v>221</v>
      </c>
      <c r="D11" s="45">
        <f>SUM(D8:D10)</f>
        <v>168</v>
      </c>
      <c r="E11" s="45">
        <f t="shared" ref="E11:I11" si="1">SUM(E8:E10)</f>
        <v>291</v>
      </c>
      <c r="F11" s="45">
        <f t="shared" si="1"/>
        <v>17</v>
      </c>
      <c r="G11" s="46">
        <f t="shared" si="1"/>
        <v>0</v>
      </c>
      <c r="H11" s="45">
        <f t="shared" si="1"/>
        <v>0</v>
      </c>
      <c r="I11" s="47">
        <f t="shared" si="1"/>
        <v>476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3"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6" customHeight="1" x14ac:dyDescent="0.3"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6.75" customHeight="1" x14ac:dyDescent="0.3"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8" ht="21" x14ac:dyDescent="0.3">
      <c r="C15" s="3" t="s">
        <v>200</v>
      </c>
      <c r="J15" s="3" t="s">
        <v>341</v>
      </c>
      <c r="Y15" s="2"/>
      <c r="Z15" s="2"/>
    </row>
    <row r="16" spans="1:28" ht="15" thickBot="1" x14ac:dyDescent="0.35">
      <c r="Y16" s="2"/>
      <c r="Z16" s="2"/>
    </row>
    <row r="17" spans="2:14" ht="24.9" customHeight="1" thickBot="1" x14ac:dyDescent="0.35">
      <c r="B17" s="12"/>
      <c r="C17" s="62" t="s">
        <v>207</v>
      </c>
      <c r="D17" s="63" t="s">
        <v>206</v>
      </c>
      <c r="E17" s="63"/>
      <c r="F17" s="63"/>
      <c r="G17" s="84"/>
      <c r="J17" s="62" t="s">
        <v>206</v>
      </c>
      <c r="K17" s="63"/>
      <c r="L17" s="63"/>
      <c r="M17" s="63"/>
      <c r="N17" s="26" t="s">
        <v>214</v>
      </c>
    </row>
    <row r="18" spans="2:14" ht="51" customHeight="1" x14ac:dyDescent="0.3">
      <c r="B18" s="12"/>
      <c r="C18" s="77"/>
      <c r="D18" s="6" t="str">
        <f>IF(D7="Branco",0,D7)</f>
        <v>(Alessandra TAE) Alessandra Casimiro de Souza</v>
      </c>
      <c r="E18" s="6" t="str">
        <f t="shared" ref="E18:G18" si="2">IF(E7="Branco",0,E7)</f>
        <v>(Jefferson de Souza Pinto) Jefferson de Souza Pinto</v>
      </c>
      <c r="F18" s="6">
        <f t="shared" si="2"/>
        <v>0</v>
      </c>
      <c r="G18" s="13">
        <f t="shared" si="2"/>
        <v>0</v>
      </c>
      <c r="I18" s="48" t="s">
        <v>218</v>
      </c>
      <c r="J18" s="85" t="str">
        <f>VLOOKUP(N18,_xlfn.ANCHORARRAY(T7),2)</f>
        <v>(Alessandra TAE) Alessandra Casimiro de Souza</v>
      </c>
      <c r="K18" s="86"/>
      <c r="L18" s="86"/>
      <c r="M18" s="86"/>
      <c r="N18" s="27">
        <f>IF(COUNTA(D8:H10)=(VLOOKUP($H$3,campus!$A$2:$F$50,5)+1)*3,M5,"")</f>
        <v>35.156548877479111</v>
      </c>
    </row>
    <row r="19" spans="2:14" x14ac:dyDescent="0.3">
      <c r="B19" s="12"/>
      <c r="C19" s="9" t="str">
        <f>C8</f>
        <v>Discentes</v>
      </c>
      <c r="D19" s="31">
        <f>IF(OR(ISBLANK(D8),D$18=0),0,100*(1/3*(D8/$J8)))</f>
        <v>3.0303030303030303</v>
      </c>
      <c r="E19" s="31">
        <f>IF(OR(ISBLANK(E8),E$18=0),0,100*(1/3*(E8/$J8)))</f>
        <v>5.9595959595959602</v>
      </c>
      <c r="F19" s="58">
        <f t="shared" ref="F19:G19" si="3">IF(OR(ISBLANK(F8),F$18=0),0,100*(1/3*(F8/$J8)))</f>
        <v>0</v>
      </c>
      <c r="G19" s="59">
        <f t="shared" si="3"/>
        <v>0</v>
      </c>
      <c r="I19" s="64" t="s">
        <v>219</v>
      </c>
      <c r="J19" s="65" t="str">
        <f>VLOOKUP(N19,_xlfn.ANCHORARRAY(T7),2)</f>
        <v>(Jefferson de Souza Pinto) Jefferson de Souza Pinto</v>
      </c>
      <c r="K19" s="66"/>
      <c r="L19" s="66"/>
      <c r="M19" s="67"/>
      <c r="N19" s="71">
        <f>IF(COUNTA(D8:H10)=(VLOOKUP($H$3,campus!$A$2:$F$50,5)+1)*3,N5,"")</f>
        <v>35.140105372663513</v>
      </c>
    </row>
    <row r="20" spans="2:14" ht="18" customHeight="1" x14ac:dyDescent="0.3">
      <c r="B20" s="12"/>
      <c r="C20" s="9" t="str">
        <f>C9</f>
        <v>Docentes</v>
      </c>
      <c r="D20" s="31">
        <f t="shared" ref="D20:G21" si="4">IF(OR(ISBLANK(D9),D$18=0),0,100*(1/3*(D9/$J9)))</f>
        <v>8.0952380952380949</v>
      </c>
      <c r="E20" s="31">
        <f t="shared" si="4"/>
        <v>21.428571428571431</v>
      </c>
      <c r="F20" s="58">
        <f t="shared" si="4"/>
        <v>0</v>
      </c>
      <c r="G20" s="59">
        <f t="shared" si="4"/>
        <v>0</v>
      </c>
      <c r="I20" s="64"/>
      <c r="J20" s="68"/>
      <c r="K20" s="69"/>
      <c r="L20" s="69"/>
      <c r="M20" s="70"/>
      <c r="N20" s="71"/>
    </row>
    <row r="21" spans="2:14" ht="19.5" customHeight="1" x14ac:dyDescent="0.3">
      <c r="B21" s="12"/>
      <c r="C21" s="9" t="str">
        <f>C10</f>
        <v>TAEs</v>
      </c>
      <c r="D21" s="31">
        <f t="shared" si="4"/>
        <v>24.031007751937985</v>
      </c>
      <c r="E21" s="31">
        <f t="shared" si="4"/>
        <v>7.7519379844961236</v>
      </c>
      <c r="F21" s="58">
        <f t="shared" si="4"/>
        <v>0</v>
      </c>
      <c r="G21" s="59">
        <f t="shared" si="4"/>
        <v>0</v>
      </c>
      <c r="I21" s="64" t="s">
        <v>220</v>
      </c>
      <c r="J21" s="65" t="e">
        <f>VLOOKUP(N21,_xlfn.ANCHORARRAY(T7),2)</f>
        <v>#N/A</v>
      </c>
      <c r="K21" s="66"/>
      <c r="L21" s="66"/>
      <c r="M21" s="67"/>
      <c r="N21" s="71">
        <f>IF(COUNTA(D8:H10)=(VLOOKUP($H$3,campus!$A$2:$F$50,5)+1)*3,O5,"")</f>
        <v>0</v>
      </c>
    </row>
    <row r="22" spans="2:14" ht="16.5" customHeight="1" thickBot="1" x14ac:dyDescent="0.35">
      <c r="C22" s="23" t="s">
        <v>214</v>
      </c>
      <c r="D22" s="24">
        <f>SUM(D19:D21)</f>
        <v>35.156548877479111</v>
      </c>
      <c r="E22" s="24">
        <f>SUM(E19:E21)</f>
        <v>35.140105372663513</v>
      </c>
      <c r="F22" s="25">
        <f>SUM(F19:F21)</f>
        <v>0</v>
      </c>
      <c r="G22" s="25">
        <f>SUM(G19:G21)</f>
        <v>0</v>
      </c>
      <c r="I22" s="72"/>
      <c r="J22" s="73"/>
      <c r="K22" s="74"/>
      <c r="L22" s="74"/>
      <c r="M22" s="75"/>
      <c r="N22" s="76"/>
    </row>
    <row r="23" spans="2:14" x14ac:dyDescent="0.3">
      <c r="D23" s="2" t="str">
        <f>D18</f>
        <v>(Alessandra TAE) Alessandra Casimiro de Souza</v>
      </c>
      <c r="E23" s="2" t="str">
        <f>E18</f>
        <v>(Jefferson de Souza Pinto) Jefferson de Souza Pinto</v>
      </c>
      <c r="F23" s="2">
        <f>F18</f>
        <v>0</v>
      </c>
    </row>
    <row r="24" spans="2:14" ht="23.4" x14ac:dyDescent="0.3">
      <c r="I24" s="5"/>
    </row>
    <row r="25" spans="2:14" ht="23.4" x14ac:dyDescent="0.3">
      <c r="I25" s="5"/>
    </row>
    <row r="28" spans="2:14" ht="24.9" customHeight="1" x14ac:dyDescent="0.3"/>
    <row r="29" spans="2:14" ht="33.9" customHeight="1" x14ac:dyDescent="0.3"/>
    <row r="30" spans="2:14" ht="33.9" customHeight="1" x14ac:dyDescent="0.3"/>
    <row r="31" spans="2:14" ht="33.9" customHeight="1" x14ac:dyDescent="0.3"/>
  </sheetData>
  <sheetProtection algorithmName="SHA-512" hashValue="Tsyn9DfIXP05DDvJtEY1PYX/d7yuxIBARXNQn8srnu13qIn7xrWfZwfvNXRidG56X3sCFcNBUzqKxaN7DX6nLA==" saltValue="rjwNMAyZxjUEnfxaPTxjHg==" spinCount="100000" sheet="1" objects="1" scenarios="1"/>
  <mergeCells count="14">
    <mergeCell ref="B6:B7"/>
    <mergeCell ref="C6:C7"/>
    <mergeCell ref="D6:I6"/>
    <mergeCell ref="J6:J7"/>
    <mergeCell ref="C17:C18"/>
    <mergeCell ref="D17:G17"/>
    <mergeCell ref="J17:M17"/>
    <mergeCell ref="J18:M18"/>
    <mergeCell ref="I19:I20"/>
    <mergeCell ref="J19:M20"/>
    <mergeCell ref="N19:N20"/>
    <mergeCell ref="I21:I22"/>
    <mergeCell ref="J21:M22"/>
    <mergeCell ref="N21:N22"/>
  </mergeCells>
  <conditionalFormatting sqref="E7:E11">
    <cfRule type="expression" dxfId="53" priority="8">
      <formula>IF($E$7=0,1,0)</formula>
    </cfRule>
  </conditionalFormatting>
  <conditionalFormatting sqref="E18:E22 F19:G21">
    <cfRule type="expression" dxfId="52" priority="7">
      <formula>IF($E$18=0,1,0)</formula>
    </cfRule>
  </conditionalFormatting>
  <conditionalFormatting sqref="F7 F11">
    <cfRule type="expression" dxfId="51" priority="9">
      <formula>IF($F$7=0,1,0)</formula>
    </cfRule>
  </conditionalFormatting>
  <conditionalFormatting sqref="F8:F10">
    <cfRule type="expression" dxfId="50" priority="4">
      <formula>IF($F$7=0,1,0)</formula>
    </cfRule>
  </conditionalFormatting>
  <conditionalFormatting sqref="F18 F22">
    <cfRule type="expression" dxfId="49" priority="6">
      <formula>IF($F$18=0,1,0)</formula>
    </cfRule>
  </conditionalFormatting>
  <conditionalFormatting sqref="G7 G11">
    <cfRule type="expression" dxfId="48" priority="10">
      <formula>IF($G$7=0,1,0)</formula>
    </cfRule>
  </conditionalFormatting>
  <conditionalFormatting sqref="G8:G10">
    <cfRule type="expression" dxfId="47" priority="3">
      <formula>IF($G$7=0,1,0)</formula>
    </cfRule>
  </conditionalFormatting>
  <conditionalFormatting sqref="G18 G22">
    <cfRule type="expression" dxfId="46" priority="5">
      <formula>IF($G$18=0,1,0)</formula>
    </cfRule>
  </conditionalFormatting>
  <conditionalFormatting sqref="H7 H11">
    <cfRule type="expression" dxfId="45" priority="11">
      <formula>IF($H$7=0,1,0)</formula>
    </cfRule>
  </conditionalFormatting>
  <conditionalFormatting sqref="H8:H10">
    <cfRule type="expression" dxfId="44" priority="2">
      <formula>IF($H$7=0,1,0)</formula>
    </cfRule>
  </conditionalFormatting>
  <conditionalFormatting sqref="I25">
    <cfRule type="expression" dxfId="43" priority="1">
      <formula>IF(LEN(I24)&gt;2,TRUE,FALSE)</formula>
    </cfRule>
  </conditionalFormatting>
  <conditionalFormatting sqref="J18:M22">
    <cfRule type="expression" dxfId="42" priority="12">
      <formula>ISNONTEXT(J18)</formula>
    </cfRule>
  </conditionalFormatting>
  <pageMargins left="0.51181102362204722" right="0.51181102362204722" top="0.78740157480314965" bottom="0.78740157480314965" header="0.31496062992125984" footer="0.31496062992125984"/>
  <pageSetup paperSize="9" scale="6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C565F-194E-43CA-AFF8-08715AA7F9FC}">
  <sheetPr codeName="Planilha87"/>
  <dimension ref="A1:AG31"/>
  <sheetViews>
    <sheetView workbookViewId="0">
      <selection activeCell="D8" sqref="D8:M10"/>
    </sheetView>
  </sheetViews>
  <sheetFormatPr defaultColWidth="9.109375" defaultRowHeight="14.4" x14ac:dyDescent="0.3"/>
  <cols>
    <col min="1" max="2" width="9.109375" style="1"/>
    <col min="3" max="3" width="15.44140625" style="1" customWidth="1"/>
    <col min="4" max="13" width="16.6640625" style="1" customWidth="1"/>
    <col min="14" max="14" width="10.6640625" style="1" customWidth="1"/>
    <col min="15" max="15" width="18.5546875" style="1" bestFit="1" customWidth="1"/>
    <col min="16" max="16384" width="9.109375" style="1"/>
  </cols>
  <sheetData>
    <row r="1" spans="1:33" x14ac:dyDescent="0.3">
      <c r="A1" s="2">
        <v>1</v>
      </c>
    </row>
    <row r="2" spans="1:33" ht="28.8" x14ac:dyDescent="0.3">
      <c r="B2" s="4" t="s">
        <v>196</v>
      </c>
    </row>
    <row r="3" spans="1:33" ht="23.4" x14ac:dyDescent="0.3">
      <c r="B3" s="5" t="str">
        <f>_xlfn.CONCAT("Diretor Geral - Câmpus ",VLOOKUP($M$3,campus!$A$2:$C$50,3))</f>
        <v>Diretor Geral - Câmpus São Paulo</v>
      </c>
      <c r="M3" s="1">
        <v>28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x14ac:dyDescent="0.3"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" thickBot="1" x14ac:dyDescent="0.35">
      <c r="Q5" s="2"/>
      <c r="R5" s="2">
        <f>LARGE(D22:L22,1)</f>
        <v>0</v>
      </c>
      <c r="S5" s="2">
        <f>LARGE(D22:L22,2)</f>
        <v>0</v>
      </c>
      <c r="T5" s="2">
        <f>LARGE(D22:L22,3)</f>
        <v>0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24.9" customHeight="1" x14ac:dyDescent="0.3">
      <c r="B6" s="62" t="s">
        <v>9</v>
      </c>
      <c r="C6" s="63" t="s">
        <v>207</v>
      </c>
      <c r="D6" s="79" t="s">
        <v>197</v>
      </c>
      <c r="E6" s="80"/>
      <c r="F6" s="80"/>
      <c r="G6" s="80"/>
      <c r="H6" s="80"/>
      <c r="I6" s="80"/>
      <c r="J6" s="80"/>
      <c r="K6" s="80"/>
      <c r="L6" s="80"/>
      <c r="M6" s="80"/>
      <c r="N6" s="81"/>
      <c r="O6" s="82" t="s">
        <v>205</v>
      </c>
      <c r="Q6" s="2"/>
      <c r="R6" s="2" t="s">
        <v>215</v>
      </c>
      <c r="S6" s="2" t="s">
        <v>216</v>
      </c>
      <c r="T6" s="2" t="s">
        <v>217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78" customHeight="1" x14ac:dyDescent="0.3">
      <c r="B7" s="77"/>
      <c r="C7" s="78"/>
      <c r="D7" s="6" t="str">
        <f>VLOOKUP($M$3,campus!$A$2:$P$50,6)</f>
        <v>(Shiga) Alberto Akio Shiga</v>
      </c>
      <c r="E7" s="6" t="str">
        <f>VLOOKUP($M$3,campus!$A$2:$P$50,7)</f>
        <v>(Camila Collpy) Camila Collpy Gonzalez Fernandez</v>
      </c>
      <c r="F7" s="6" t="str">
        <f>VLOOKUP($M$3,campus!$A$2:$P$50,8)</f>
        <v>(d’Avila) Edson D'Avila</v>
      </c>
      <c r="G7" s="6" t="str">
        <f>VLOOKUP($M$3,campus!$A$2:$P$50,9)</f>
        <v>(Prof. Modena) Eduardo Antonio Modena</v>
      </c>
      <c r="H7" s="6" t="str">
        <f>VLOOKUP($M$3,campus!$A$2:$P$50,10)</f>
        <v>(Giuliano Gozzi) Giuliano Gozzi</v>
      </c>
      <c r="I7" s="6" t="str">
        <f>VLOOKUP($M$3,campus!$A$2:$P$50,11)</f>
        <v>(Luís Cláudio de Matos) Luís Cláudio de Matos Lima Jr.</v>
      </c>
      <c r="J7" s="6" t="str">
        <f>VLOOKUP($M$3,campus!$A$2:$P$50,12)</f>
        <v>(Natanael) Natanael Benedito Amaro</v>
      </c>
      <c r="K7" s="6" t="str">
        <f>VLOOKUP($M$3,campus!$A$2:$P$50,13)</f>
        <v>(Vitor Marçulli) Reginaldo Vitor Marçulli Pereira</v>
      </c>
      <c r="L7" s="6" t="str">
        <f>VLOOKUP($M$3,campus!$A$2:$P$50,14)</f>
        <v>(Wellington) Wellington Pereira das Virgens</v>
      </c>
      <c r="M7" s="7" t="str">
        <f>VLOOKUP($M$3,campus!$A$2:$P$50,15)</f>
        <v>Branco</v>
      </c>
      <c r="N7" s="6" t="s">
        <v>210</v>
      </c>
      <c r="O7" s="83"/>
      <c r="Q7" s="2"/>
      <c r="R7" s="2"/>
      <c r="S7" s="2"/>
      <c r="T7" s="2"/>
      <c r="U7" s="2"/>
      <c r="V7" s="44">
        <f>IF(OR(D7="Branco",D7=0),"",D22)</f>
        <v>0</v>
      </c>
      <c r="W7" s="2" t="str">
        <f>IF(OR(D7="Branco",D7=0),"",D7)</f>
        <v>(Shiga) Alberto Akio Shiga</v>
      </c>
      <c r="X7" s="2"/>
      <c r="Y7" s="2" cm="1">
        <f t="array" ref="Y7:Z10">_xlfn.SORTBY(V7:W10,V7:V10,1)</f>
        <v>0</v>
      </c>
      <c r="Z7" s="2" t="str">
        <v>(Shiga) Alberto Akio Shiga</v>
      </c>
      <c r="AA7" s="2"/>
      <c r="AB7" s="2"/>
      <c r="AC7" s="2"/>
      <c r="AD7" s="2"/>
      <c r="AE7" s="2"/>
      <c r="AF7" s="2"/>
      <c r="AG7" s="2"/>
    </row>
    <row r="8" spans="1:33" ht="23.25" customHeight="1" x14ac:dyDescent="0.3">
      <c r="B8" s="9" t="str">
        <f>VLOOKUP(3*$M$3-2,urnas!$B$6:$D$150,2)</f>
        <v>Urna 082</v>
      </c>
      <c r="C8" s="21" t="str">
        <f>VLOOKUP(3*$M$3-2,urnas!$B$6:$D$150,3)</f>
        <v>Discentes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8">
        <f t="shared" ref="N8:N10" si="0">SUM(D8:M8)</f>
        <v>0</v>
      </c>
      <c r="O8" s="15">
        <f>VLOOKUP(B8,urnas!$C$6:$H$150,6)</f>
        <v>6031</v>
      </c>
      <c r="Q8" s="2"/>
      <c r="R8" s="2"/>
      <c r="S8" s="2"/>
      <c r="T8" s="2"/>
      <c r="U8" s="2"/>
      <c r="V8" s="44">
        <f>IF(OR(I7="Branco",I7=0),"",I22)</f>
        <v>0</v>
      </c>
      <c r="W8" s="2" t="str">
        <f>IF(OR(I7="Branco",I7=0),"",I7)</f>
        <v>(Luís Cláudio de Matos) Luís Cláudio de Matos Lima Jr.</v>
      </c>
      <c r="X8" s="2"/>
      <c r="Y8" s="2">
        <v>0</v>
      </c>
      <c r="Z8" s="2" t="str">
        <v>(Luís Cláudio de Matos) Luís Cláudio de Matos Lima Jr.</v>
      </c>
      <c r="AA8" s="2"/>
      <c r="AB8" s="2"/>
      <c r="AC8" s="2"/>
      <c r="AD8" s="2"/>
      <c r="AE8" s="2"/>
      <c r="AF8" s="2"/>
      <c r="AG8" s="2"/>
    </row>
    <row r="9" spans="1:33" ht="21.75" customHeight="1" x14ac:dyDescent="0.3">
      <c r="B9" s="9" t="str">
        <f>VLOOKUP(3*$M$3-1,urnas!$B$6:$D$150,2)</f>
        <v>Urna 083</v>
      </c>
      <c r="C9" s="21" t="str">
        <f>VLOOKUP(3*$M$3-1,urnas!$B$6:$D$150,3)</f>
        <v>Docentes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8">
        <f t="shared" si="0"/>
        <v>0</v>
      </c>
      <c r="O9" s="15">
        <f>VLOOKUP(B9,urnas!$C$6:$H$150,6)</f>
        <v>327</v>
      </c>
      <c r="Q9" s="2"/>
      <c r="R9" s="2"/>
      <c r="S9" s="2"/>
      <c r="T9" s="2"/>
      <c r="U9" s="2"/>
      <c r="V9" s="44">
        <f>IF(OR(K7="Branco",K7=0),"",K22)</f>
        <v>0</v>
      </c>
      <c r="W9" s="2" t="str">
        <f>IF(OR(K7="Branco",K7=0),"",K7)</f>
        <v>(Vitor Marçulli) Reginaldo Vitor Marçulli Pereira</v>
      </c>
      <c r="X9" s="2"/>
      <c r="Y9" s="2">
        <v>0</v>
      </c>
      <c r="Z9" s="2" t="str">
        <v>(Vitor Marçulli) Reginaldo Vitor Marçulli Pereira</v>
      </c>
      <c r="AA9" s="2"/>
      <c r="AB9" s="2"/>
      <c r="AC9" s="2"/>
      <c r="AD9" s="2"/>
      <c r="AE9" s="2"/>
      <c r="AF9" s="2"/>
      <c r="AG9" s="2"/>
    </row>
    <row r="10" spans="1:33" ht="21" customHeight="1" thickBot="1" x14ac:dyDescent="0.35">
      <c r="B10" s="10" t="str">
        <f>VLOOKUP(3*$M$3,urnas!$B$6:$D$150,2)</f>
        <v>Urna 084</v>
      </c>
      <c r="C10" s="22" t="str">
        <f>VLOOKUP(3*$M$3,urnas!$B$6:$D$150,3)</f>
        <v>TAEs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1">
        <f t="shared" si="0"/>
        <v>0</v>
      </c>
      <c r="O10" s="16">
        <f>VLOOKUP(B10,urnas!$C$6:$H$150,6)</f>
        <v>181</v>
      </c>
      <c r="Q10" s="2"/>
      <c r="R10" s="2"/>
      <c r="S10" s="2"/>
      <c r="T10" s="2"/>
      <c r="U10" s="2"/>
      <c r="V10" s="44">
        <f>IF(OR(L7="Branco",L7=0),"",L22)</f>
        <v>0</v>
      </c>
      <c r="W10" s="2" t="str">
        <f>IF(OR(L7="Branco",L7=0),"",L7)</f>
        <v>(Wellington) Wellington Pereira das Virgens</v>
      </c>
      <c r="X10" s="2"/>
      <c r="Y10" s="2">
        <v>0</v>
      </c>
      <c r="Z10" s="2" t="str">
        <v>(Wellington) Wellington Pereira das Virgens</v>
      </c>
      <c r="AA10" s="2"/>
      <c r="AB10" s="2"/>
      <c r="AC10" s="2"/>
      <c r="AD10" s="2"/>
      <c r="AE10" s="2"/>
      <c r="AF10" s="2"/>
      <c r="AG10" s="2"/>
    </row>
    <row r="11" spans="1:33" ht="20.25" customHeight="1" thickBot="1" x14ac:dyDescent="0.35">
      <c r="C11" s="18" t="s">
        <v>221</v>
      </c>
      <c r="D11" s="45">
        <f>SUM(D8:D10)</f>
        <v>0</v>
      </c>
      <c r="E11" s="45">
        <f t="shared" ref="E11:M11" si="1">SUM(E8:E10)</f>
        <v>0</v>
      </c>
      <c r="F11" s="45">
        <f t="shared" si="1"/>
        <v>0</v>
      </c>
      <c r="G11" s="45">
        <f t="shared" si="1"/>
        <v>0</v>
      </c>
      <c r="H11" s="45">
        <f t="shared" si="1"/>
        <v>0</v>
      </c>
      <c r="I11" s="45">
        <f t="shared" si="1"/>
        <v>0</v>
      </c>
      <c r="J11" s="45">
        <f t="shared" si="1"/>
        <v>0</v>
      </c>
      <c r="K11" s="45">
        <f t="shared" si="1"/>
        <v>0</v>
      </c>
      <c r="L11" s="45">
        <f t="shared" si="1"/>
        <v>0</v>
      </c>
      <c r="M11" s="45">
        <f t="shared" si="1"/>
        <v>0</v>
      </c>
      <c r="N11" s="47">
        <f t="shared" ref="N11" si="2">SUM(N8:N10)</f>
        <v>0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x14ac:dyDescent="0.3"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6" customHeight="1" x14ac:dyDescent="0.3"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6.75" customHeight="1" x14ac:dyDescent="0.3"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3" ht="21" x14ac:dyDescent="0.3">
      <c r="C15" s="3" t="s">
        <v>200</v>
      </c>
      <c r="O15" s="3" t="s">
        <v>341</v>
      </c>
      <c r="AD15" s="2"/>
      <c r="AE15" s="2"/>
    </row>
    <row r="16" spans="1:33" ht="15" thickBot="1" x14ac:dyDescent="0.35">
      <c r="AD16" s="2"/>
      <c r="AE16" s="2"/>
    </row>
    <row r="17" spans="2:19" ht="18" customHeight="1" thickBot="1" x14ac:dyDescent="0.35">
      <c r="B17" s="12"/>
      <c r="C17" s="62" t="s">
        <v>207</v>
      </c>
      <c r="D17" s="63" t="s">
        <v>206</v>
      </c>
      <c r="E17" s="63"/>
      <c r="F17" s="63"/>
      <c r="G17" s="63"/>
      <c r="H17" s="63"/>
      <c r="I17" s="63"/>
      <c r="J17" s="63"/>
      <c r="K17" s="63"/>
      <c r="L17" s="84"/>
      <c r="O17" s="62" t="s">
        <v>206</v>
      </c>
      <c r="P17" s="63"/>
      <c r="Q17" s="63"/>
      <c r="R17" s="63"/>
      <c r="S17" s="26" t="s">
        <v>214</v>
      </c>
    </row>
    <row r="18" spans="2:19" ht="67.5" customHeight="1" x14ac:dyDescent="0.3">
      <c r="B18" s="12"/>
      <c r="C18" s="77"/>
      <c r="D18" s="6" t="str">
        <f>IF(D7="Branco",0,D7)</f>
        <v>(Shiga) Alberto Akio Shiga</v>
      </c>
      <c r="E18" s="6" t="str">
        <f t="shared" ref="E18:L18" si="3">IF(E7="Branco",0,E7)</f>
        <v>(Camila Collpy) Camila Collpy Gonzalez Fernandez</v>
      </c>
      <c r="F18" s="6" t="str">
        <f t="shared" si="3"/>
        <v>(d’Avila) Edson D'Avila</v>
      </c>
      <c r="G18" s="6" t="str">
        <f t="shared" si="3"/>
        <v>(Prof. Modena) Eduardo Antonio Modena</v>
      </c>
      <c r="H18" s="6" t="str">
        <f t="shared" si="3"/>
        <v>(Giuliano Gozzi) Giuliano Gozzi</v>
      </c>
      <c r="I18" s="6" t="str">
        <f t="shared" si="3"/>
        <v>(Luís Cláudio de Matos) Luís Cláudio de Matos Lima Jr.</v>
      </c>
      <c r="J18" s="6" t="str">
        <f t="shared" si="3"/>
        <v>(Natanael) Natanael Benedito Amaro</v>
      </c>
      <c r="K18" s="6" t="str">
        <f t="shared" si="3"/>
        <v>(Vitor Marçulli) Reginaldo Vitor Marçulli Pereira</v>
      </c>
      <c r="L18" s="6" t="str">
        <f t="shared" si="3"/>
        <v>(Wellington) Wellington Pereira das Virgens</v>
      </c>
      <c r="N18" s="48" t="s">
        <v>218</v>
      </c>
      <c r="O18" s="85" t="e">
        <f>VLOOKUP(S18,_xlfn.ANCHORARRAY(Y7),2)</f>
        <v>#N/A</v>
      </c>
      <c r="P18" s="86"/>
      <c r="Q18" s="86"/>
      <c r="R18" s="86"/>
      <c r="S18" s="27" t="str">
        <f>IF(COUNTA(D8:M10)=(VLOOKUP($M$3,campus!$A$2:$F$50,5)+1)*3,R5,"")</f>
        <v/>
      </c>
    </row>
    <row r="19" spans="2:19" x14ac:dyDescent="0.3">
      <c r="B19" s="12"/>
      <c r="C19" s="9" t="str">
        <f>C8</f>
        <v>Discentes</v>
      </c>
      <c r="D19" s="31">
        <f>IF(OR(ISBLANK(D8),D$18=0),0,100*(1/3*(D8/$O8)))</f>
        <v>0</v>
      </c>
      <c r="E19" s="31">
        <f t="shared" ref="E19:L21" si="4">IF(OR(ISBLANK(E8),E$18=0),0,100*(1/3*(E8/$O8)))</f>
        <v>0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0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N19" s="64" t="s">
        <v>219</v>
      </c>
      <c r="O19" s="65" t="e">
        <f>VLOOKUP(S19,_xlfn.ANCHORARRAY(Y7),2)</f>
        <v>#N/A</v>
      </c>
      <c r="P19" s="66"/>
      <c r="Q19" s="66"/>
      <c r="R19" s="67"/>
      <c r="S19" s="71" t="str">
        <f>IF(COUNTA(D8:M10)=(VLOOKUP($M$3,campus!$A$2:$F$50,5)+1)*3,S5,"")</f>
        <v/>
      </c>
    </row>
    <row r="20" spans="2:19" ht="18" customHeight="1" x14ac:dyDescent="0.3">
      <c r="B20" s="12"/>
      <c r="C20" s="9" t="str">
        <f>C9</f>
        <v>Docentes</v>
      </c>
      <c r="D20" s="31">
        <f t="shared" ref="D20:D21" si="5">IF(OR(ISBLANK(D9),D$18=0),0,100*(1/3*(D9/$O9)))</f>
        <v>0</v>
      </c>
      <c r="E20" s="31">
        <f t="shared" si="4"/>
        <v>0</v>
      </c>
      <c r="F20" s="31">
        <f t="shared" si="4"/>
        <v>0</v>
      </c>
      <c r="G20" s="31">
        <f t="shared" si="4"/>
        <v>0</v>
      </c>
      <c r="H20" s="31">
        <f t="shared" si="4"/>
        <v>0</v>
      </c>
      <c r="I20" s="31">
        <f t="shared" si="4"/>
        <v>0</v>
      </c>
      <c r="J20" s="31">
        <f t="shared" si="4"/>
        <v>0</v>
      </c>
      <c r="K20" s="31">
        <f t="shared" si="4"/>
        <v>0</v>
      </c>
      <c r="L20" s="31">
        <f t="shared" si="4"/>
        <v>0</v>
      </c>
      <c r="N20" s="64"/>
      <c r="O20" s="68"/>
      <c r="P20" s="69"/>
      <c r="Q20" s="69"/>
      <c r="R20" s="70"/>
      <c r="S20" s="71"/>
    </row>
    <row r="21" spans="2:19" ht="19.5" customHeight="1" x14ac:dyDescent="0.3">
      <c r="B21" s="12"/>
      <c r="C21" s="9" t="str">
        <f>C10</f>
        <v>TAEs</v>
      </c>
      <c r="D21" s="31">
        <f t="shared" si="5"/>
        <v>0</v>
      </c>
      <c r="E21" s="31">
        <f t="shared" si="4"/>
        <v>0</v>
      </c>
      <c r="F21" s="31">
        <f t="shared" si="4"/>
        <v>0</v>
      </c>
      <c r="G21" s="31">
        <f t="shared" si="4"/>
        <v>0</v>
      </c>
      <c r="H21" s="31">
        <f t="shared" si="4"/>
        <v>0</v>
      </c>
      <c r="I21" s="31">
        <f t="shared" si="4"/>
        <v>0</v>
      </c>
      <c r="J21" s="31">
        <f t="shared" si="4"/>
        <v>0</v>
      </c>
      <c r="K21" s="31">
        <f t="shared" si="4"/>
        <v>0</v>
      </c>
      <c r="L21" s="31">
        <f t="shared" si="4"/>
        <v>0</v>
      </c>
      <c r="N21" s="64" t="s">
        <v>220</v>
      </c>
      <c r="O21" s="65" t="e">
        <f>VLOOKUP(S21,_xlfn.ANCHORARRAY(Y7),2)</f>
        <v>#N/A</v>
      </c>
      <c r="P21" s="66"/>
      <c r="Q21" s="66"/>
      <c r="R21" s="67"/>
      <c r="S21" s="71" t="str">
        <f>IF(COUNTA(D8:M10)=(VLOOKUP($M$3,campus!$A$2:$F$50,5)+1)*3,T5,"")</f>
        <v/>
      </c>
    </row>
    <row r="22" spans="2:19" ht="16.5" customHeight="1" thickBot="1" x14ac:dyDescent="0.35">
      <c r="C22" s="23" t="s">
        <v>214</v>
      </c>
      <c r="D22" s="24">
        <f>SUM(D19:D21)</f>
        <v>0</v>
      </c>
      <c r="E22" s="24">
        <f t="shared" ref="E22:L22" si="6">SUM(E19:E21)</f>
        <v>0</v>
      </c>
      <c r="F22" s="24">
        <f t="shared" si="6"/>
        <v>0</v>
      </c>
      <c r="G22" s="24">
        <f t="shared" si="6"/>
        <v>0</v>
      </c>
      <c r="H22" s="24">
        <f t="shared" si="6"/>
        <v>0</v>
      </c>
      <c r="I22" s="24">
        <f t="shared" si="6"/>
        <v>0</v>
      </c>
      <c r="J22" s="24">
        <f t="shared" si="6"/>
        <v>0</v>
      </c>
      <c r="K22" s="24">
        <f t="shared" si="6"/>
        <v>0</v>
      </c>
      <c r="L22" s="24">
        <f t="shared" si="6"/>
        <v>0</v>
      </c>
      <c r="N22" s="72"/>
      <c r="O22" s="73"/>
      <c r="P22" s="74"/>
      <c r="Q22" s="74"/>
      <c r="R22" s="75"/>
      <c r="S22" s="76"/>
    </row>
    <row r="23" spans="2:19" x14ac:dyDescent="0.3">
      <c r="D23" s="2" t="str">
        <f>D18</f>
        <v>(Shiga) Alberto Akio Shiga</v>
      </c>
      <c r="E23" s="2"/>
      <c r="F23" s="2"/>
      <c r="G23" s="2"/>
      <c r="H23" s="2"/>
      <c r="I23" s="2" t="str">
        <f>I18</f>
        <v>(Luís Cláudio de Matos) Luís Cláudio de Matos Lima Jr.</v>
      </c>
      <c r="J23" s="2"/>
      <c r="K23" s="2" t="str">
        <f>K18</f>
        <v>(Vitor Marçulli) Reginaldo Vitor Marçulli Pereira</v>
      </c>
    </row>
    <row r="24" spans="2:19" ht="23.4" x14ac:dyDescent="0.3">
      <c r="N24" s="5" t="str">
        <f>IF(COUNTA(D8:M10)=(VLOOKUP($M$3,campus!$A$2:$F$50,5)+1)*3,IF(ISTEXT(O19),IF(O18=O19,"Verificar critérios de desempate",""),""),"")</f>
        <v/>
      </c>
    </row>
    <row r="25" spans="2:19" ht="23.4" x14ac:dyDescent="0.3">
      <c r="N25" s="5" t="str">
        <f>IF(COUNTA(D8:M10)=(VLOOKUP($M$3,campus!$A$2:$F$50,5)+1)*3, IF(VLOOKUP($M$3,campus!$A$2:$F$50,5)&gt;2,IF(S18&gt;(S19+S21), "Eleição encerrada no primeiro turno.", "Haverá segundo turno entre os dois primeiro colocados"),"Eleição encerrada no primeiro turno."   ),"")</f>
        <v/>
      </c>
    </row>
    <row r="28" spans="2:19" ht="24.9" customHeight="1" x14ac:dyDescent="0.3"/>
    <row r="29" spans="2:19" ht="33.9" customHeight="1" x14ac:dyDescent="0.3"/>
    <row r="30" spans="2:19" ht="33.9" customHeight="1" x14ac:dyDescent="0.3"/>
    <row r="31" spans="2:19" ht="33.9" customHeight="1" x14ac:dyDescent="0.3"/>
  </sheetData>
  <sheetProtection selectLockedCells="1"/>
  <mergeCells count="14">
    <mergeCell ref="N19:N20"/>
    <mergeCell ref="O19:R20"/>
    <mergeCell ref="S19:S20"/>
    <mergeCell ref="N21:N22"/>
    <mergeCell ref="O21:R22"/>
    <mergeCell ref="S21:S22"/>
    <mergeCell ref="B6:B7"/>
    <mergeCell ref="C6:C7"/>
    <mergeCell ref="D6:N6"/>
    <mergeCell ref="O6:O7"/>
    <mergeCell ref="C17:C18"/>
    <mergeCell ref="D17:L17"/>
    <mergeCell ref="O17:R17"/>
    <mergeCell ref="O18:R18"/>
  </mergeCells>
  <conditionalFormatting sqref="I7:J7">
    <cfRule type="expression" dxfId="41" priority="2">
      <formula>IF($I$7=0,1,0)</formula>
    </cfRule>
  </conditionalFormatting>
  <conditionalFormatting sqref="K7">
    <cfRule type="expression" dxfId="40" priority="3">
      <formula>IF($K$7=0,1,0)</formula>
    </cfRule>
  </conditionalFormatting>
  <conditionalFormatting sqref="L7">
    <cfRule type="expression" dxfId="39" priority="4">
      <formula>IF($L$7=0,1,0)</formula>
    </cfRule>
  </conditionalFormatting>
  <conditionalFormatting sqref="M7">
    <cfRule type="expression" dxfId="38" priority="5">
      <formula>IF($M$7=0,1,0)</formula>
    </cfRule>
  </conditionalFormatting>
  <conditionalFormatting sqref="N25">
    <cfRule type="expression" dxfId="37" priority="1">
      <formula>IF(LEN(N24)&gt;2,TRUE,FALSE)</formula>
    </cfRule>
  </conditionalFormatting>
  <conditionalFormatting sqref="O18:R22">
    <cfRule type="expression" dxfId="36" priority="6">
      <formula>ISNONTEXT(O18)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7742C-828D-465B-A743-836922AAA62C}">
  <sheetPr>
    <tabColor theme="2" tint="-0.249977111117893"/>
  </sheetPr>
  <dimension ref="A1:AB31"/>
  <sheetViews>
    <sheetView showRowColHeaders="0" workbookViewId="0">
      <selection activeCell="I24" sqref="I24"/>
    </sheetView>
  </sheetViews>
  <sheetFormatPr defaultColWidth="9.109375" defaultRowHeight="14.4" x14ac:dyDescent="0.3"/>
  <cols>
    <col min="1" max="2" width="9.109375" style="1"/>
    <col min="3" max="3" width="15.44140625" style="1" customWidth="1"/>
    <col min="4" max="7" width="25.6640625" style="1" customWidth="1"/>
    <col min="8" max="9" width="10.6640625" style="1" customWidth="1"/>
    <col min="10" max="10" width="18.5546875" style="1" bestFit="1" customWidth="1"/>
    <col min="11" max="16384" width="9.109375" style="1"/>
  </cols>
  <sheetData>
    <row r="1" spans="1:28" x14ac:dyDescent="0.3">
      <c r="A1" s="2">
        <v>1</v>
      </c>
    </row>
    <row r="2" spans="1:28" ht="28.8" x14ac:dyDescent="0.3">
      <c r="B2" s="4" t="s">
        <v>344</v>
      </c>
    </row>
    <row r="3" spans="1:28" ht="23.4" x14ac:dyDescent="0.3">
      <c r="B3" s="5" t="str">
        <f>_xlfn.CONCAT("Diretor-Geral de Campus: ",VLOOKUP($H$3,campus!$A$2:$C$50,3))</f>
        <v>Diretor-Geral de Campus: São Paulo</v>
      </c>
      <c r="H3" s="1">
        <v>28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3">
      <c r="L4" s="2"/>
      <c r="M4" s="2"/>
      <c r="N4" s="2"/>
      <c r="O4" s="2"/>
      <c r="AB4" s="2"/>
    </row>
    <row r="5" spans="1:28" ht="15" thickBot="1" x14ac:dyDescent="0.35">
      <c r="L5" s="2"/>
      <c r="M5" s="2">
        <f>LARGE(D22:E22,1)</f>
        <v>35.637898779106308</v>
      </c>
      <c r="N5" s="2">
        <f>LARGE(D22:G22,2)</f>
        <v>30.424998556151134</v>
      </c>
      <c r="O5" s="2">
        <f>LARGE(D22:G22,3)</f>
        <v>0</v>
      </c>
      <c r="AB5" s="2"/>
    </row>
    <row r="6" spans="1:28" ht="24.9" customHeight="1" x14ac:dyDescent="0.3">
      <c r="B6" s="62" t="s">
        <v>9</v>
      </c>
      <c r="C6" s="63" t="s">
        <v>207</v>
      </c>
      <c r="D6" s="79" t="s">
        <v>197</v>
      </c>
      <c r="E6" s="80"/>
      <c r="F6" s="80"/>
      <c r="G6" s="80"/>
      <c r="H6" s="80"/>
      <c r="I6" s="81"/>
      <c r="J6" s="82" t="s">
        <v>205</v>
      </c>
      <c r="L6" s="2"/>
      <c r="M6" s="2" t="s">
        <v>215</v>
      </c>
      <c r="N6" s="2" t="s">
        <v>216</v>
      </c>
      <c r="O6" s="2" t="s">
        <v>217</v>
      </c>
      <c r="AB6" s="2"/>
    </row>
    <row r="7" spans="1:28" ht="51" customHeight="1" x14ac:dyDescent="0.3">
      <c r="B7" s="77"/>
      <c r="C7" s="78"/>
      <c r="D7" s="6" t="str">
        <f>VLOOKUP($H$3,campus!$A$2:$P$50,6)</f>
        <v>(Shiga) Alberto Akio Shiga</v>
      </c>
      <c r="E7" s="6" t="str">
        <f>VLOOKUP($H$3,campus!$A$2:$P$50,14)</f>
        <v>(Wellington) Wellington Pereira das Virgens</v>
      </c>
      <c r="F7" s="6" t="str">
        <f>VLOOKUP($H$3,campus!$A$2:$P$50,15)</f>
        <v>Branco</v>
      </c>
      <c r="G7" s="6">
        <v>0</v>
      </c>
      <c r="H7" s="7"/>
      <c r="I7" s="6" t="s">
        <v>210</v>
      </c>
      <c r="J7" s="83"/>
      <c r="L7" s="2"/>
      <c r="M7" s="2"/>
      <c r="N7" s="2"/>
      <c r="O7" s="2"/>
      <c r="P7" s="2"/>
      <c r="Q7" s="44">
        <f>IF(OR(D7="Branco",D7=0),"",D22)</f>
        <v>30.424998556151134</v>
      </c>
      <c r="R7" s="2" t="str">
        <f>IF(OR(D7="Branco",D7=0),"",D7)</f>
        <v>(Shiga) Alberto Akio Shiga</v>
      </c>
      <c r="S7" s="2"/>
      <c r="T7" s="2" cm="1">
        <f t="array" ref="T7:U8">_xlfn.SORTBY(Q7:R8,Q7:Q8,1)</f>
        <v>30.424998556151134</v>
      </c>
      <c r="U7" s="2" t="str">
        <v>(Shiga) Alberto Akio Shiga</v>
      </c>
      <c r="V7" s="2"/>
      <c r="W7" s="2"/>
      <c r="AB7" s="2"/>
    </row>
    <row r="8" spans="1:28" ht="23.25" customHeight="1" x14ac:dyDescent="0.3">
      <c r="B8" s="9" t="str">
        <f>VLOOKUP(3*$H$3-2,urnas!$B$6:$D$150,2)</f>
        <v>Urna 082</v>
      </c>
      <c r="C8" s="21" t="str">
        <f>VLOOKUP(3*$H$3-2,urnas!$B$6:$D$150,3)</f>
        <v>Discentes</v>
      </c>
      <c r="D8" s="150">
        <v>285</v>
      </c>
      <c r="E8" s="150">
        <v>1117</v>
      </c>
      <c r="F8" s="150">
        <v>37</v>
      </c>
      <c r="G8" s="60">
        <v>0</v>
      </c>
      <c r="H8" s="57">
        <v>0</v>
      </c>
      <c r="I8" s="8">
        <f t="shared" ref="I8:I10" si="0">SUM(D8:H8)</f>
        <v>1439</v>
      </c>
      <c r="J8" s="15">
        <f>VLOOKUP(B8,urnas!$C$6:$H$150,6)</f>
        <v>6031</v>
      </c>
      <c r="L8" s="2"/>
      <c r="M8" s="2"/>
      <c r="N8" s="2"/>
      <c r="O8" s="2"/>
      <c r="P8" s="2"/>
      <c r="Q8" s="44">
        <f>IF(OR(E7="Branco",E7=0),"",E22)</f>
        <v>35.637898779106308</v>
      </c>
      <c r="R8" s="2" t="str">
        <f>IF(OR(E7="Branco",E7=0),"",E7)</f>
        <v>(Wellington) Wellington Pereira das Virgens</v>
      </c>
      <c r="S8" s="2"/>
      <c r="T8" s="2">
        <v>35.637898779106308</v>
      </c>
      <c r="U8" s="2" t="str">
        <v>(Wellington) Wellington Pereira das Virgens</v>
      </c>
      <c r="V8" s="2"/>
      <c r="W8" s="2"/>
      <c r="AB8" s="2"/>
    </row>
    <row r="9" spans="1:28" ht="21.75" customHeight="1" x14ac:dyDescent="0.3">
      <c r="B9" s="9" t="str">
        <f>VLOOKUP(3*$H$3-1,urnas!$B$6:$D$150,2)</f>
        <v>Urna 083</v>
      </c>
      <c r="C9" s="21" t="str">
        <f>VLOOKUP(3*$H$3-1,urnas!$B$6:$D$150,3)</f>
        <v>Docentes</v>
      </c>
      <c r="D9" s="150">
        <v>115</v>
      </c>
      <c r="E9" s="150">
        <v>168</v>
      </c>
      <c r="F9" s="150">
        <v>7</v>
      </c>
      <c r="G9" s="60">
        <v>0</v>
      </c>
      <c r="H9" s="57">
        <v>0</v>
      </c>
      <c r="I9" s="8">
        <f t="shared" si="0"/>
        <v>290</v>
      </c>
      <c r="J9" s="15">
        <f>VLOOKUP(B9,urnas!$C$6:$H$150,6)</f>
        <v>327</v>
      </c>
      <c r="L9" s="2"/>
      <c r="M9" s="2"/>
      <c r="N9" s="2"/>
      <c r="O9" s="2"/>
      <c r="P9" s="2"/>
      <c r="Q9" s="44"/>
      <c r="R9" s="2" t="str">
        <f>IF(OR(F7="Branco",F7=0),"",F7)</f>
        <v/>
      </c>
      <c r="S9" s="2"/>
      <c r="T9" s="2"/>
      <c r="U9" s="2"/>
      <c r="V9" s="2"/>
      <c r="W9" s="2"/>
      <c r="AB9" s="2"/>
    </row>
    <row r="10" spans="1:28" ht="21" customHeight="1" thickBot="1" x14ac:dyDescent="0.35">
      <c r="B10" s="10" t="str">
        <f>VLOOKUP(3*$H$3,urnas!$B$6:$D$150,2)</f>
        <v>Urna 084</v>
      </c>
      <c r="C10" s="22" t="str">
        <f>VLOOKUP(3*$H$3,urnas!$B$6:$D$150,3)</f>
        <v>TAEs</v>
      </c>
      <c r="D10" s="150">
        <v>93</v>
      </c>
      <c r="E10" s="150">
        <v>67</v>
      </c>
      <c r="F10" s="150">
        <v>5</v>
      </c>
      <c r="G10" s="60">
        <v>0</v>
      </c>
      <c r="H10" s="57">
        <v>0</v>
      </c>
      <c r="I10" s="11">
        <f t="shared" si="0"/>
        <v>165</v>
      </c>
      <c r="J10" s="16">
        <f>VLOOKUP(B10,urnas!$C$6:$H$150,6)</f>
        <v>181</v>
      </c>
      <c r="L10" s="2"/>
      <c r="M10" s="2"/>
      <c r="N10" s="2"/>
      <c r="O10" s="2"/>
      <c r="P10" s="2"/>
      <c r="Q10" s="44"/>
      <c r="R10" s="2" t="str">
        <f>IF(OR(G7="Branco",G7=0),"",G7)</f>
        <v/>
      </c>
      <c r="S10" s="2"/>
      <c r="T10" s="2"/>
      <c r="U10" s="2"/>
      <c r="V10" s="2"/>
      <c r="W10" s="2"/>
      <c r="AB10" s="2"/>
    </row>
    <row r="11" spans="1:28" ht="20.25" customHeight="1" thickBot="1" x14ac:dyDescent="0.35">
      <c r="C11" s="18" t="s">
        <v>221</v>
      </c>
      <c r="D11" s="45">
        <f>SUM(D8:D10)</f>
        <v>493</v>
      </c>
      <c r="E11" s="45">
        <f t="shared" ref="E11:I11" si="1">SUM(E8:E10)</f>
        <v>1352</v>
      </c>
      <c r="F11" s="45">
        <f t="shared" si="1"/>
        <v>49</v>
      </c>
      <c r="G11" s="46">
        <f t="shared" si="1"/>
        <v>0</v>
      </c>
      <c r="H11" s="45">
        <f t="shared" si="1"/>
        <v>0</v>
      </c>
      <c r="I11" s="47">
        <f t="shared" si="1"/>
        <v>1894</v>
      </c>
      <c r="L11" s="2"/>
      <c r="M11" s="2"/>
      <c r="N11" s="2"/>
      <c r="O11" s="2"/>
      <c r="AB11" s="2"/>
    </row>
    <row r="12" spans="1:28" x14ac:dyDescent="0.3">
      <c r="L12" s="2"/>
      <c r="M12" s="2"/>
      <c r="N12" s="2"/>
      <c r="O12" s="2"/>
      <c r="AB12" s="2"/>
    </row>
    <row r="13" spans="1:28" ht="6" customHeight="1" x14ac:dyDescent="0.3">
      <c r="L13" s="2"/>
      <c r="M13" s="2"/>
      <c r="N13" s="2"/>
      <c r="O13" s="2"/>
      <c r="AB13" s="2"/>
    </row>
    <row r="14" spans="1:28" ht="6.75" customHeight="1" x14ac:dyDescent="0.3">
      <c r="L14" s="2"/>
      <c r="M14" s="2"/>
      <c r="N14" s="2"/>
      <c r="O14" s="2"/>
    </row>
    <row r="15" spans="1:28" ht="21" x14ac:dyDescent="0.3">
      <c r="C15" s="3" t="s">
        <v>200</v>
      </c>
      <c r="J15" s="3" t="s">
        <v>341</v>
      </c>
    </row>
    <row r="16" spans="1:28" ht="15" thickBot="1" x14ac:dyDescent="0.35"/>
    <row r="17" spans="2:14" ht="24.9" customHeight="1" thickBot="1" x14ac:dyDescent="0.35">
      <c r="B17" s="12"/>
      <c r="C17" s="62" t="s">
        <v>207</v>
      </c>
      <c r="D17" s="63" t="s">
        <v>206</v>
      </c>
      <c r="E17" s="63"/>
      <c r="F17" s="63"/>
      <c r="G17" s="84"/>
      <c r="J17" s="62" t="s">
        <v>206</v>
      </c>
      <c r="K17" s="63"/>
      <c r="L17" s="63"/>
      <c r="M17" s="63"/>
      <c r="N17" s="26" t="s">
        <v>214</v>
      </c>
    </row>
    <row r="18" spans="2:14" ht="51" customHeight="1" x14ac:dyDescent="0.3">
      <c r="B18" s="12"/>
      <c r="C18" s="77"/>
      <c r="D18" s="6" t="str">
        <f>IF(D7="Branco",0,D7)</f>
        <v>(Shiga) Alberto Akio Shiga</v>
      </c>
      <c r="E18" s="6" t="str">
        <f t="shared" ref="E18:G18" si="2">IF(E7="Branco",0,E7)</f>
        <v>(Wellington) Wellington Pereira das Virgens</v>
      </c>
      <c r="F18" s="6">
        <f t="shared" si="2"/>
        <v>0</v>
      </c>
      <c r="G18" s="13">
        <f t="shared" si="2"/>
        <v>0</v>
      </c>
      <c r="I18" s="48" t="s">
        <v>218</v>
      </c>
      <c r="J18" s="98" t="str">
        <f>VLOOKUP(N18,_xlfn.ANCHORARRAY(T7),2)</f>
        <v>(Wellington) Wellington Pereira das Virgens</v>
      </c>
      <c r="K18" s="99"/>
      <c r="L18" s="99"/>
      <c r="M18" s="99"/>
      <c r="N18" s="61">
        <f>IF(COUNTA(D8:F10)=(3*3),M5,"")</f>
        <v>35.637898779106308</v>
      </c>
    </row>
    <row r="19" spans="2:14" x14ac:dyDescent="0.3">
      <c r="B19" s="12"/>
      <c r="C19" s="9" t="str">
        <f>C8</f>
        <v>Discentes</v>
      </c>
      <c r="D19" s="31">
        <f>IF(OR(ISBLANK(D8),D$18=0),0,100*(1/3*(D8/$J8)))</f>
        <v>1.5751948267285689</v>
      </c>
      <c r="E19" s="31">
        <f>IF(OR(ISBLANK(E8),E$18=0),0,100*(1/3*(E8/$J8)))</f>
        <v>6.1736583208975846</v>
      </c>
      <c r="F19" s="58">
        <f t="shared" ref="F19:G19" si="3">IF(OR(ISBLANK(F8),F$18=0),0,100*(1/3*(F8/$J8)))</f>
        <v>0</v>
      </c>
      <c r="G19" s="59">
        <f t="shared" si="3"/>
        <v>0</v>
      </c>
      <c r="I19" s="64" t="s">
        <v>219</v>
      </c>
      <c r="J19" s="87" t="str">
        <f>VLOOKUP(N19,_xlfn.ANCHORARRAY(T7),2)</f>
        <v>(Shiga) Alberto Akio Shiga</v>
      </c>
      <c r="K19" s="88"/>
      <c r="L19" s="88"/>
      <c r="M19" s="89"/>
      <c r="N19" s="93">
        <f>IF(COUNTA(D8:F10)=(3*3),N5,"")</f>
        <v>30.424998556151134</v>
      </c>
    </row>
    <row r="20" spans="2:14" ht="18" customHeight="1" x14ac:dyDescent="0.3">
      <c r="B20" s="12"/>
      <c r="C20" s="9" t="str">
        <f>C9</f>
        <v>Docentes</v>
      </c>
      <c r="D20" s="31">
        <f t="shared" ref="D20:G21" si="4">IF(OR(ISBLANK(D9),D$18=0),0,100*(1/3*(D9/$J9)))</f>
        <v>11.722731906218144</v>
      </c>
      <c r="E20" s="31">
        <f t="shared" si="4"/>
        <v>17.12538226299694</v>
      </c>
      <c r="F20" s="58">
        <f t="shared" si="4"/>
        <v>0</v>
      </c>
      <c r="G20" s="59">
        <f t="shared" si="4"/>
        <v>0</v>
      </c>
      <c r="I20" s="64"/>
      <c r="J20" s="90"/>
      <c r="K20" s="91"/>
      <c r="L20" s="91"/>
      <c r="M20" s="92"/>
      <c r="N20" s="93"/>
    </row>
    <row r="21" spans="2:14" ht="19.5" customHeight="1" x14ac:dyDescent="0.3">
      <c r="B21" s="12"/>
      <c r="C21" s="9" t="str">
        <f>C10</f>
        <v>TAEs</v>
      </c>
      <c r="D21" s="31">
        <f t="shared" si="4"/>
        <v>17.127071823204421</v>
      </c>
      <c r="E21" s="31">
        <f t="shared" si="4"/>
        <v>12.338858195211785</v>
      </c>
      <c r="F21" s="58">
        <f t="shared" si="4"/>
        <v>0</v>
      </c>
      <c r="G21" s="59">
        <f t="shared" si="4"/>
        <v>0</v>
      </c>
      <c r="I21" s="64" t="s">
        <v>220</v>
      </c>
      <c r="J21" s="87"/>
      <c r="K21" s="88"/>
      <c r="L21" s="88"/>
      <c r="M21" s="89"/>
      <c r="N21" s="93" t="str">
        <f>IF(COUNTA(D8:H10)=(VLOOKUP($H$3,campus!$A$2:$F$50,5)+1)*3,O5,"")</f>
        <v/>
      </c>
    </row>
    <row r="22" spans="2:14" ht="16.5" customHeight="1" thickBot="1" x14ac:dyDescent="0.35">
      <c r="C22" s="23" t="s">
        <v>214</v>
      </c>
      <c r="D22" s="24">
        <f>SUM(D19:D21)</f>
        <v>30.424998556151134</v>
      </c>
      <c r="E22" s="24">
        <f>SUM(E19:E21)</f>
        <v>35.637898779106308</v>
      </c>
      <c r="F22" s="25">
        <f>SUM(F19:F21)</f>
        <v>0</v>
      </c>
      <c r="G22" s="25">
        <f>SUM(G19:G21)</f>
        <v>0</v>
      </c>
      <c r="I22" s="72"/>
      <c r="J22" s="94"/>
      <c r="K22" s="95"/>
      <c r="L22" s="95"/>
      <c r="M22" s="96"/>
      <c r="N22" s="97"/>
    </row>
    <row r="23" spans="2:14" x14ac:dyDescent="0.3">
      <c r="D23" s="2" t="str">
        <f>D18</f>
        <v>(Shiga) Alberto Akio Shiga</v>
      </c>
      <c r="E23" s="2" t="str">
        <f>E18</f>
        <v>(Wellington) Wellington Pereira das Virgens</v>
      </c>
      <c r="F23" s="2">
        <f>F18</f>
        <v>0</v>
      </c>
    </row>
    <row r="24" spans="2:14" ht="23.4" x14ac:dyDescent="0.3">
      <c r="I24" s="5"/>
    </row>
    <row r="25" spans="2:14" ht="23.4" x14ac:dyDescent="0.3">
      <c r="I25" s="5"/>
    </row>
    <row r="28" spans="2:14" ht="24.9" customHeight="1" x14ac:dyDescent="0.3"/>
    <row r="29" spans="2:14" ht="33.9" customHeight="1" x14ac:dyDescent="0.3"/>
    <row r="30" spans="2:14" ht="33.9" customHeight="1" x14ac:dyDescent="0.3"/>
    <row r="31" spans="2:14" ht="33.9" customHeight="1" x14ac:dyDescent="0.3"/>
  </sheetData>
  <sheetProtection algorithmName="SHA-512" hashValue="YvVy+nHHceB0HhcbKcVgjPCp4LbgjNQv5mwPDW5LAUeY08rnbWEl3+DOgtFH6g1HJdZxxPOl1tnLj6TYYP7PWg==" saltValue="YewacCo9tka0cDIXGjwvnw==" spinCount="100000" sheet="1" objects="1" scenarios="1"/>
  <mergeCells count="14">
    <mergeCell ref="B6:B7"/>
    <mergeCell ref="C6:C7"/>
    <mergeCell ref="D6:I6"/>
    <mergeCell ref="J6:J7"/>
    <mergeCell ref="C17:C18"/>
    <mergeCell ref="D17:G17"/>
    <mergeCell ref="J17:M17"/>
    <mergeCell ref="J18:M18"/>
    <mergeCell ref="I19:I20"/>
    <mergeCell ref="J19:M20"/>
    <mergeCell ref="N19:N20"/>
    <mergeCell ref="I21:I22"/>
    <mergeCell ref="J21:M22"/>
    <mergeCell ref="N21:N22"/>
  </mergeCells>
  <conditionalFormatting sqref="E7:E11">
    <cfRule type="expression" dxfId="35" priority="9">
      <formula>IF($E$7=0,1,0)</formula>
    </cfRule>
  </conditionalFormatting>
  <conditionalFormatting sqref="E18:E22 F19:G21">
    <cfRule type="expression" dxfId="34" priority="8">
      <formula>IF($E$18=0,1,0)</formula>
    </cfRule>
  </conditionalFormatting>
  <conditionalFormatting sqref="F7 F11">
    <cfRule type="expression" dxfId="33" priority="10">
      <formula>IF($F$7=0,1,0)</formula>
    </cfRule>
  </conditionalFormatting>
  <conditionalFormatting sqref="F8:F10">
    <cfRule type="expression" dxfId="32" priority="5">
      <formula>IF($F$7=0,1,0)</formula>
    </cfRule>
  </conditionalFormatting>
  <conditionalFormatting sqref="F18 F22">
    <cfRule type="expression" dxfId="31" priority="7">
      <formula>IF($F$18=0,1,0)</formula>
    </cfRule>
  </conditionalFormatting>
  <conditionalFormatting sqref="G7 G11">
    <cfRule type="expression" dxfId="30" priority="11">
      <formula>IF($G$7=0,1,0)</formula>
    </cfRule>
  </conditionalFormatting>
  <conditionalFormatting sqref="G8:G10">
    <cfRule type="expression" dxfId="29" priority="4">
      <formula>IF($G$7=0,1,0)</formula>
    </cfRule>
  </conditionalFormatting>
  <conditionalFormatting sqref="G18 G22">
    <cfRule type="expression" dxfId="28" priority="6">
      <formula>IF($G$18=0,1,0)</formula>
    </cfRule>
  </conditionalFormatting>
  <conditionalFormatting sqref="H7 H11">
    <cfRule type="expression" dxfId="27" priority="12">
      <formula>IF($H$7=0,1,0)</formula>
    </cfRule>
  </conditionalFormatting>
  <conditionalFormatting sqref="H8:H10">
    <cfRule type="expression" dxfId="26" priority="3">
      <formula>IF($H$7=0,1,0)</formula>
    </cfRule>
  </conditionalFormatting>
  <conditionalFormatting sqref="I25">
    <cfRule type="expression" dxfId="25" priority="2">
      <formula>IF(LEN(I24)&gt;2,TRUE,FALSE)</formula>
    </cfRule>
  </conditionalFormatting>
  <conditionalFormatting sqref="J18:M22">
    <cfRule type="expression" dxfId="24" priority="1">
      <formula>IF(COUNTA(D8:F10)=(3*3),1,0)</formula>
    </cfRule>
  </conditionalFormatting>
  <pageMargins left="0.51181102362204722" right="0.51181102362204722" top="0.78740157480314965" bottom="0.78740157480314965" header="0.31496062992125984" footer="0.31496062992125984"/>
  <pageSetup paperSize="9" scale="6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Planilha8"/>
  <dimension ref="A1:O42"/>
  <sheetViews>
    <sheetView topLeftCell="A22" workbookViewId="0">
      <selection activeCell="J32" sqref="J32"/>
    </sheetView>
  </sheetViews>
  <sheetFormatPr defaultColWidth="9.109375" defaultRowHeight="14.4" x14ac:dyDescent="0.3"/>
  <cols>
    <col min="1" max="2" width="9.109375" style="38"/>
    <col min="3" max="3" width="22.5546875" style="38" customWidth="1"/>
    <col min="4" max="4" width="8.5546875" style="38" customWidth="1"/>
    <col min="5" max="5" width="9.44140625" style="38" customWidth="1"/>
    <col min="6" max="6" width="33" style="38" customWidth="1"/>
    <col min="7" max="7" width="27.33203125" style="38" customWidth="1"/>
    <col min="8" max="8" width="25.5546875" style="38" customWidth="1"/>
    <col min="9" max="10" width="15.44140625" style="38" customWidth="1"/>
    <col min="11" max="16384" width="9.109375" style="38"/>
  </cols>
  <sheetData>
    <row r="1" spans="1:10" x14ac:dyDescent="0.3">
      <c r="A1" s="38">
        <v>1</v>
      </c>
      <c r="E1" s="38" t="s">
        <v>223</v>
      </c>
    </row>
    <row r="2" spans="1:10" ht="15" customHeight="1" x14ac:dyDescent="0.3">
      <c r="A2" s="38">
        <v>1</v>
      </c>
      <c r="B2" s="40" t="s">
        <v>123</v>
      </c>
      <c r="C2" t="s">
        <v>159</v>
      </c>
      <c r="E2" s="38">
        <f>COUNTA(F2:T2)-1</f>
        <v>2</v>
      </c>
      <c r="F2" s="39" t="s">
        <v>249</v>
      </c>
      <c r="G2" s="38" t="s">
        <v>250</v>
      </c>
      <c r="H2" s="38" t="s">
        <v>251</v>
      </c>
    </row>
    <row r="3" spans="1:10" x14ac:dyDescent="0.3">
      <c r="A3" s="38">
        <v>2</v>
      </c>
      <c r="B3" s="40" t="s">
        <v>124</v>
      </c>
      <c r="C3" t="s">
        <v>160</v>
      </c>
      <c r="E3" s="38">
        <f t="shared" ref="E3:E38" si="0">COUNTA(F3:T3)-1</f>
        <v>4</v>
      </c>
      <c r="F3" s="38" t="s">
        <v>252</v>
      </c>
      <c r="G3" s="38" t="s">
        <v>253</v>
      </c>
      <c r="H3" s="38" t="s">
        <v>254</v>
      </c>
      <c r="I3" s="38" t="s">
        <v>255</v>
      </c>
      <c r="J3" s="38" t="s">
        <v>251</v>
      </c>
    </row>
    <row r="4" spans="1:10" x14ac:dyDescent="0.3">
      <c r="A4" s="38">
        <v>3</v>
      </c>
      <c r="B4" s="40" t="s">
        <v>125</v>
      </c>
      <c r="C4" t="s">
        <v>161</v>
      </c>
      <c r="E4" s="38">
        <f t="shared" si="0"/>
        <v>2</v>
      </c>
      <c r="F4" s="38" t="s">
        <v>256</v>
      </c>
      <c r="G4" s="38" t="s">
        <v>257</v>
      </c>
      <c r="H4" s="38" t="s">
        <v>251</v>
      </c>
    </row>
    <row r="5" spans="1:10" x14ac:dyDescent="0.3">
      <c r="A5" s="38">
        <v>4</v>
      </c>
      <c r="B5" s="40" t="s">
        <v>126</v>
      </c>
      <c r="C5" t="s">
        <v>162</v>
      </c>
      <c r="E5" s="38">
        <f t="shared" si="0"/>
        <v>2</v>
      </c>
      <c r="F5" s="38" t="s">
        <v>258</v>
      </c>
      <c r="G5" s="38" t="s">
        <v>259</v>
      </c>
      <c r="H5" s="38" t="s">
        <v>251</v>
      </c>
    </row>
    <row r="6" spans="1:10" x14ac:dyDescent="0.3">
      <c r="A6" s="38">
        <v>5</v>
      </c>
      <c r="B6" s="40" t="s">
        <v>127</v>
      </c>
      <c r="C6" t="s">
        <v>163</v>
      </c>
      <c r="E6" s="38">
        <f t="shared" si="0"/>
        <v>2</v>
      </c>
      <c r="F6" s="38" t="s">
        <v>260</v>
      </c>
      <c r="G6" s="38" t="s">
        <v>261</v>
      </c>
      <c r="H6" s="38" t="s">
        <v>251</v>
      </c>
    </row>
    <row r="7" spans="1:10" x14ac:dyDescent="0.3">
      <c r="A7" s="38">
        <v>6</v>
      </c>
      <c r="B7" s="40" t="s">
        <v>128</v>
      </c>
      <c r="C7" t="s">
        <v>169</v>
      </c>
      <c r="E7" s="38">
        <f t="shared" si="0"/>
        <v>3</v>
      </c>
      <c r="F7" s="38" t="s">
        <v>262</v>
      </c>
      <c r="G7" s="38" t="s">
        <v>263</v>
      </c>
      <c r="H7" s="38" t="s">
        <v>264</v>
      </c>
      <c r="I7" s="38" t="s">
        <v>251</v>
      </c>
    </row>
    <row r="8" spans="1:10" x14ac:dyDescent="0.3">
      <c r="A8" s="38">
        <v>7</v>
      </c>
      <c r="B8" s="40" t="s">
        <v>129</v>
      </c>
      <c r="C8" t="s">
        <v>164</v>
      </c>
      <c r="E8" s="38">
        <f t="shared" si="0"/>
        <v>3</v>
      </c>
      <c r="F8" s="38" t="s">
        <v>265</v>
      </c>
      <c r="G8" s="38" t="s">
        <v>266</v>
      </c>
      <c r="H8" s="38" t="s">
        <v>267</v>
      </c>
      <c r="I8" s="38" t="s">
        <v>251</v>
      </c>
    </row>
    <row r="9" spans="1:10" x14ac:dyDescent="0.3">
      <c r="A9" s="38">
        <v>8</v>
      </c>
      <c r="B9" s="40" t="s">
        <v>130</v>
      </c>
      <c r="C9" t="s">
        <v>170</v>
      </c>
      <c r="E9" s="38">
        <f t="shared" si="0"/>
        <v>4</v>
      </c>
      <c r="F9" s="38" t="s">
        <v>268</v>
      </c>
      <c r="G9" s="38" t="s">
        <v>269</v>
      </c>
      <c r="H9" s="38" t="s">
        <v>270</v>
      </c>
      <c r="I9" s="38" t="s">
        <v>271</v>
      </c>
      <c r="J9" s="38" t="s">
        <v>251</v>
      </c>
    </row>
    <row r="10" spans="1:10" x14ac:dyDescent="0.3">
      <c r="A10" s="38">
        <v>9</v>
      </c>
      <c r="B10" s="40" t="s">
        <v>131</v>
      </c>
      <c r="C10" t="s">
        <v>165</v>
      </c>
      <c r="E10" s="38">
        <f t="shared" si="0"/>
        <v>2</v>
      </c>
      <c r="F10" s="38" t="s">
        <v>272</v>
      </c>
      <c r="G10" s="38" t="s">
        <v>273</v>
      </c>
      <c r="H10" s="38" t="s">
        <v>251</v>
      </c>
    </row>
    <row r="11" spans="1:10" x14ac:dyDescent="0.3">
      <c r="A11" s="38">
        <v>10</v>
      </c>
      <c r="B11" s="40" t="s">
        <v>132</v>
      </c>
      <c r="C11" t="s">
        <v>166</v>
      </c>
      <c r="E11" s="38">
        <f t="shared" si="0"/>
        <v>1</v>
      </c>
      <c r="F11" s="38" t="s">
        <v>274</v>
      </c>
      <c r="G11" s="38" t="s">
        <v>251</v>
      </c>
    </row>
    <row r="12" spans="1:10" x14ac:dyDescent="0.3">
      <c r="A12" s="38">
        <v>11</v>
      </c>
      <c r="B12" s="40" t="s">
        <v>133</v>
      </c>
      <c r="C12" t="s">
        <v>167</v>
      </c>
      <c r="E12" s="38">
        <f t="shared" si="0"/>
        <v>2</v>
      </c>
      <c r="F12" s="39" t="s">
        <v>275</v>
      </c>
      <c r="G12" s="38" t="s">
        <v>276</v>
      </c>
      <c r="H12" s="38" t="s">
        <v>251</v>
      </c>
    </row>
    <row r="13" spans="1:10" ht="28.8" x14ac:dyDescent="0.3">
      <c r="A13" s="38">
        <v>12</v>
      </c>
      <c r="B13" s="40" t="s">
        <v>134</v>
      </c>
      <c r="C13" t="s">
        <v>168</v>
      </c>
      <c r="E13" s="38">
        <f t="shared" si="0"/>
        <v>1</v>
      </c>
      <c r="F13" s="39" t="s">
        <v>277</v>
      </c>
      <c r="G13" s="38" t="s">
        <v>251</v>
      </c>
    </row>
    <row r="14" spans="1:10" ht="28.8" x14ac:dyDescent="0.3">
      <c r="A14" s="38">
        <v>13</v>
      </c>
      <c r="B14" s="40" t="s">
        <v>135</v>
      </c>
      <c r="C14" t="s">
        <v>171</v>
      </c>
      <c r="E14" s="38">
        <f t="shared" si="0"/>
        <v>2</v>
      </c>
      <c r="F14" s="39" t="s">
        <v>278</v>
      </c>
      <c r="G14" s="38" t="s">
        <v>279</v>
      </c>
      <c r="H14" s="38" t="s">
        <v>251</v>
      </c>
    </row>
    <row r="15" spans="1:10" ht="28.8" x14ac:dyDescent="0.3">
      <c r="A15" s="38">
        <v>14</v>
      </c>
      <c r="B15" s="40" t="s">
        <v>136</v>
      </c>
      <c r="C15" t="s">
        <v>172</v>
      </c>
      <c r="E15" s="38">
        <f t="shared" si="0"/>
        <v>2</v>
      </c>
      <c r="F15" s="39" t="s">
        <v>280</v>
      </c>
      <c r="G15" s="38" t="s">
        <v>281</v>
      </c>
      <c r="H15" s="38" t="s">
        <v>251</v>
      </c>
    </row>
    <row r="16" spans="1:10" ht="28.8" x14ac:dyDescent="0.3">
      <c r="A16" s="38">
        <v>15</v>
      </c>
      <c r="B16" s="40" t="s">
        <v>137</v>
      </c>
      <c r="C16" t="s">
        <v>173</v>
      </c>
      <c r="E16" s="38">
        <f t="shared" si="0"/>
        <v>3</v>
      </c>
      <c r="F16" s="39" t="s">
        <v>282</v>
      </c>
      <c r="G16" s="38" t="s">
        <v>283</v>
      </c>
      <c r="H16" s="38" t="s">
        <v>284</v>
      </c>
      <c r="I16" s="38" t="s">
        <v>251</v>
      </c>
    </row>
    <row r="17" spans="1:15" ht="28.8" x14ac:dyDescent="0.3">
      <c r="A17" s="38">
        <v>16</v>
      </c>
      <c r="B17" s="40" t="s">
        <v>138</v>
      </c>
      <c r="C17" t="s">
        <v>174</v>
      </c>
      <c r="E17" s="38">
        <f t="shared" si="0"/>
        <v>3</v>
      </c>
      <c r="F17" s="39" t="s">
        <v>285</v>
      </c>
      <c r="G17" s="38" t="s">
        <v>286</v>
      </c>
      <c r="H17" s="38" t="s">
        <v>287</v>
      </c>
      <c r="I17" s="38" t="s">
        <v>251</v>
      </c>
    </row>
    <row r="18" spans="1:15" ht="28.8" x14ac:dyDescent="0.3">
      <c r="A18" s="38">
        <v>17</v>
      </c>
      <c r="B18" s="40" t="s">
        <v>139</v>
      </c>
      <c r="C18" t="s">
        <v>175</v>
      </c>
      <c r="E18" s="38">
        <f t="shared" si="0"/>
        <v>3</v>
      </c>
      <c r="F18" s="39" t="s">
        <v>288</v>
      </c>
      <c r="G18" s="38" t="s">
        <v>289</v>
      </c>
      <c r="H18" s="38" t="s">
        <v>290</v>
      </c>
      <c r="I18" s="38" t="s">
        <v>251</v>
      </c>
    </row>
    <row r="19" spans="1:15" ht="28.8" x14ac:dyDescent="0.3">
      <c r="A19" s="38">
        <v>18</v>
      </c>
      <c r="B19" s="40" t="s">
        <v>140</v>
      </c>
      <c r="C19" t="s">
        <v>176</v>
      </c>
      <c r="E19" s="38">
        <f t="shared" si="0"/>
        <v>1</v>
      </c>
      <c r="F19" s="39" t="s">
        <v>291</v>
      </c>
      <c r="G19" s="38" t="s">
        <v>251</v>
      </c>
    </row>
    <row r="20" spans="1:15" x14ac:dyDescent="0.3">
      <c r="A20" s="38">
        <v>19</v>
      </c>
      <c r="B20" s="40" t="s">
        <v>141</v>
      </c>
      <c r="C20" t="s">
        <v>177</v>
      </c>
      <c r="E20" s="38">
        <f t="shared" si="0"/>
        <v>3</v>
      </c>
      <c r="F20" s="39" t="s">
        <v>202</v>
      </c>
      <c r="G20" s="38" t="s">
        <v>292</v>
      </c>
      <c r="H20" s="38" t="s">
        <v>293</v>
      </c>
      <c r="I20" s="38" t="s">
        <v>251</v>
      </c>
    </row>
    <row r="21" spans="1:15" ht="28.8" x14ac:dyDescent="0.3">
      <c r="A21" s="38">
        <v>20</v>
      </c>
      <c r="B21" s="40" t="s">
        <v>142</v>
      </c>
      <c r="C21" t="s">
        <v>180</v>
      </c>
      <c r="E21" s="38">
        <f t="shared" si="0"/>
        <v>2</v>
      </c>
      <c r="F21" s="39" t="s">
        <v>294</v>
      </c>
      <c r="G21" s="38" t="s">
        <v>295</v>
      </c>
      <c r="H21" s="38" t="s">
        <v>251</v>
      </c>
    </row>
    <row r="22" spans="1:15" ht="28.8" x14ac:dyDescent="0.3">
      <c r="A22" s="38">
        <v>21</v>
      </c>
      <c r="B22" s="40" t="s">
        <v>143</v>
      </c>
      <c r="C22" t="s">
        <v>181</v>
      </c>
      <c r="E22" s="38">
        <f t="shared" si="0"/>
        <v>2</v>
      </c>
      <c r="F22" s="39" t="s">
        <v>296</v>
      </c>
      <c r="G22" s="38" t="s">
        <v>297</v>
      </c>
      <c r="H22" s="38" t="s">
        <v>251</v>
      </c>
    </row>
    <row r="23" spans="1:15" ht="28.8" x14ac:dyDescent="0.3">
      <c r="A23" s="38">
        <v>22</v>
      </c>
      <c r="B23" s="40" t="s">
        <v>144</v>
      </c>
      <c r="C23" t="s">
        <v>178</v>
      </c>
      <c r="E23" s="38">
        <f t="shared" si="0"/>
        <v>4</v>
      </c>
      <c r="F23" s="39" t="s">
        <v>298</v>
      </c>
      <c r="G23" s="38" t="s">
        <v>299</v>
      </c>
      <c r="H23" s="38" t="s">
        <v>300</v>
      </c>
      <c r="I23" s="38" t="s">
        <v>301</v>
      </c>
      <c r="J23" s="38" t="s">
        <v>251</v>
      </c>
    </row>
    <row r="24" spans="1:15" ht="28.8" x14ac:dyDescent="0.3">
      <c r="A24" s="38">
        <v>23</v>
      </c>
      <c r="B24" s="40" t="s">
        <v>145</v>
      </c>
      <c r="C24" t="s">
        <v>179</v>
      </c>
      <c r="E24" s="38">
        <f t="shared" si="0"/>
        <v>3</v>
      </c>
      <c r="F24" s="39" t="s">
        <v>302</v>
      </c>
      <c r="G24" s="38" t="s">
        <v>303</v>
      </c>
      <c r="H24" s="38" t="s">
        <v>304</v>
      </c>
      <c r="I24" s="38" t="s">
        <v>251</v>
      </c>
    </row>
    <row r="25" spans="1:15" ht="28.8" x14ac:dyDescent="0.3">
      <c r="A25" s="38">
        <v>24</v>
      </c>
      <c r="B25" s="40" t="s">
        <v>146</v>
      </c>
      <c r="C25" t="s">
        <v>182</v>
      </c>
      <c r="E25" s="38">
        <f t="shared" si="0"/>
        <v>2</v>
      </c>
      <c r="F25" s="39" t="s">
        <v>305</v>
      </c>
      <c r="G25" s="38" t="s">
        <v>306</v>
      </c>
      <c r="H25" s="38" t="s">
        <v>251</v>
      </c>
    </row>
    <row r="26" spans="1:15" ht="28.8" x14ac:dyDescent="0.3">
      <c r="A26" s="38">
        <v>25</v>
      </c>
      <c r="B26" s="40" t="s">
        <v>147</v>
      </c>
      <c r="C26" t="s">
        <v>183</v>
      </c>
      <c r="E26" s="38">
        <f t="shared" si="0"/>
        <v>2</v>
      </c>
      <c r="F26" s="39" t="s">
        <v>307</v>
      </c>
      <c r="G26" s="38" t="s">
        <v>308</v>
      </c>
      <c r="H26" s="38" t="s">
        <v>251</v>
      </c>
    </row>
    <row r="27" spans="1:15" ht="14.25" customHeight="1" x14ac:dyDescent="0.3">
      <c r="A27" s="38">
        <v>26</v>
      </c>
      <c r="B27" s="40" t="s">
        <v>148</v>
      </c>
      <c r="C27" t="s">
        <v>184</v>
      </c>
      <c r="E27" s="38">
        <f t="shared" si="0"/>
        <v>2</v>
      </c>
      <c r="F27" s="39" t="s">
        <v>203</v>
      </c>
      <c r="G27" s="38" t="s">
        <v>309</v>
      </c>
      <c r="H27" s="38" t="s">
        <v>251</v>
      </c>
    </row>
    <row r="28" spans="1:15" ht="28.8" x14ac:dyDescent="0.3">
      <c r="A28" s="38">
        <v>27</v>
      </c>
      <c r="B28" s="40" t="s">
        <v>241</v>
      </c>
      <c r="C28" t="s">
        <v>242</v>
      </c>
      <c r="E28" s="38">
        <f t="shared" si="0"/>
        <v>1</v>
      </c>
      <c r="F28" s="39" t="s">
        <v>310</v>
      </c>
      <c r="G28" s="38" t="s">
        <v>251</v>
      </c>
    </row>
    <row r="29" spans="1:15" x14ac:dyDescent="0.3">
      <c r="A29" s="38">
        <v>28</v>
      </c>
      <c r="B29" s="40" t="s">
        <v>149</v>
      </c>
      <c r="C29" t="s">
        <v>185</v>
      </c>
      <c r="E29" s="38">
        <f t="shared" si="0"/>
        <v>9</v>
      </c>
      <c r="F29" s="39" t="s">
        <v>311</v>
      </c>
      <c r="G29" s="38" t="s">
        <v>312</v>
      </c>
      <c r="H29" s="38" t="s">
        <v>313</v>
      </c>
      <c r="I29" s="38" t="s">
        <v>314</v>
      </c>
      <c r="J29" s="38" t="s">
        <v>315</v>
      </c>
      <c r="K29" s="38" t="s">
        <v>316</v>
      </c>
      <c r="L29" s="38" t="s">
        <v>317</v>
      </c>
      <c r="M29" s="38" t="s">
        <v>318</v>
      </c>
      <c r="N29" s="38" t="s">
        <v>319</v>
      </c>
      <c r="O29" s="38" t="s">
        <v>251</v>
      </c>
    </row>
    <row r="30" spans="1:15" x14ac:dyDescent="0.3">
      <c r="A30" s="38">
        <v>29</v>
      </c>
      <c r="B30" s="40" t="s">
        <v>150</v>
      </c>
      <c r="C30" t="s">
        <v>186</v>
      </c>
      <c r="E30" s="38">
        <f t="shared" si="0"/>
        <v>2</v>
      </c>
      <c r="F30" s="39" t="s">
        <v>320</v>
      </c>
      <c r="G30" s="38" t="s">
        <v>321</v>
      </c>
      <c r="H30" s="38" t="s">
        <v>251</v>
      </c>
    </row>
    <row r="31" spans="1:15" ht="28.8" x14ac:dyDescent="0.3">
      <c r="A31" s="38">
        <v>30</v>
      </c>
      <c r="B31" s="40" t="s">
        <v>151</v>
      </c>
      <c r="C31" t="s">
        <v>187</v>
      </c>
      <c r="E31" s="38">
        <f t="shared" si="0"/>
        <v>2</v>
      </c>
      <c r="F31" s="39" t="s">
        <v>322</v>
      </c>
      <c r="G31" s="38" t="s">
        <v>323</v>
      </c>
      <c r="H31" s="38" t="s">
        <v>251</v>
      </c>
    </row>
    <row r="32" spans="1:15" ht="28.8" x14ac:dyDescent="0.3">
      <c r="A32" s="38">
        <v>31</v>
      </c>
      <c r="B32" s="40" t="s">
        <v>152</v>
      </c>
      <c r="C32" t="s">
        <v>188</v>
      </c>
      <c r="E32" s="38">
        <f t="shared" si="0"/>
        <v>3</v>
      </c>
      <c r="F32" s="39" t="s">
        <v>324</v>
      </c>
      <c r="G32" s="38" t="s">
        <v>325</v>
      </c>
      <c r="H32" s="38" t="s">
        <v>326</v>
      </c>
      <c r="I32" s="38" t="s">
        <v>251</v>
      </c>
    </row>
    <row r="33" spans="1:8" ht="28.8" x14ac:dyDescent="0.3">
      <c r="A33" s="38">
        <v>32</v>
      </c>
      <c r="B33" s="40" t="s">
        <v>153</v>
      </c>
      <c r="C33" t="s">
        <v>189</v>
      </c>
      <c r="E33" s="38">
        <f t="shared" si="0"/>
        <v>1</v>
      </c>
      <c r="F33" s="39" t="s">
        <v>327</v>
      </c>
      <c r="G33" s="38" t="s">
        <v>251</v>
      </c>
    </row>
    <row r="34" spans="1:8" ht="28.8" x14ac:dyDescent="0.3">
      <c r="A34" s="38">
        <v>33</v>
      </c>
      <c r="B34" s="40" t="s">
        <v>154</v>
      </c>
      <c r="C34" t="s">
        <v>190</v>
      </c>
      <c r="E34" s="38">
        <f t="shared" si="0"/>
        <v>2</v>
      </c>
      <c r="F34" s="39" t="s">
        <v>328</v>
      </c>
      <c r="G34" s="38" t="s">
        <v>329</v>
      </c>
      <c r="H34" s="38" t="s">
        <v>251</v>
      </c>
    </row>
    <row r="35" spans="1:8" ht="28.8" x14ac:dyDescent="0.3">
      <c r="A35" s="38">
        <v>34</v>
      </c>
      <c r="B35" s="40" t="s">
        <v>155</v>
      </c>
      <c r="C35" t="s">
        <v>191</v>
      </c>
      <c r="D35" s="38" t="s">
        <v>193</v>
      </c>
      <c r="E35" s="38">
        <f t="shared" si="0"/>
        <v>1</v>
      </c>
      <c r="F35" s="39" t="s">
        <v>330</v>
      </c>
      <c r="G35" s="38" t="s">
        <v>251</v>
      </c>
    </row>
    <row r="36" spans="1:8" ht="28.8" x14ac:dyDescent="0.3">
      <c r="A36" s="38">
        <v>35</v>
      </c>
      <c r="B36" s="40" t="s">
        <v>156</v>
      </c>
      <c r="C36" t="s">
        <v>192</v>
      </c>
      <c r="D36" s="38" t="s">
        <v>193</v>
      </c>
      <c r="E36" s="38">
        <f t="shared" si="0"/>
        <v>1</v>
      </c>
      <c r="F36" s="39" t="s">
        <v>331</v>
      </c>
      <c r="G36" s="38" t="s">
        <v>251</v>
      </c>
    </row>
    <row r="37" spans="1:8" ht="28.8" x14ac:dyDescent="0.3">
      <c r="A37" s="38">
        <v>36</v>
      </c>
      <c r="B37" s="40" t="s">
        <v>157</v>
      </c>
      <c r="C37" t="s">
        <v>194</v>
      </c>
      <c r="D37" s="38" t="s">
        <v>193</v>
      </c>
      <c r="E37" s="38">
        <f t="shared" si="0"/>
        <v>1</v>
      </c>
      <c r="F37" s="39" t="s">
        <v>332</v>
      </c>
      <c r="G37" s="38" t="s">
        <v>251</v>
      </c>
    </row>
    <row r="38" spans="1:8" x14ac:dyDescent="0.3">
      <c r="A38" s="38">
        <v>37</v>
      </c>
      <c r="B38" s="40" t="s">
        <v>158</v>
      </c>
      <c r="C38" t="s">
        <v>195</v>
      </c>
      <c r="D38" s="38" t="s">
        <v>193</v>
      </c>
      <c r="E38" s="38">
        <f t="shared" si="0"/>
        <v>1</v>
      </c>
      <c r="F38" s="38" t="s">
        <v>201</v>
      </c>
      <c r="G38" s="38" t="s">
        <v>251</v>
      </c>
    </row>
    <row r="39" spans="1:8" x14ac:dyDescent="0.3">
      <c r="A39" s="38">
        <v>38</v>
      </c>
      <c r="B39" s="40" t="s">
        <v>243</v>
      </c>
      <c r="C39" t="s">
        <v>244</v>
      </c>
    </row>
    <row r="40" spans="1:8" x14ac:dyDescent="0.3">
      <c r="A40" s="38">
        <v>39</v>
      </c>
      <c r="B40" s="40" t="s">
        <v>245</v>
      </c>
      <c r="C40" t="s">
        <v>246</v>
      </c>
    </row>
    <row r="41" spans="1:8" x14ac:dyDescent="0.3">
      <c r="A41" s="38">
        <v>40</v>
      </c>
      <c r="B41" s="41">
        <v>114</v>
      </c>
      <c r="C41" t="s">
        <v>247</v>
      </c>
    </row>
    <row r="42" spans="1:8" x14ac:dyDescent="0.3">
      <c r="A42" s="38">
        <v>41</v>
      </c>
      <c r="B42" s="41">
        <v>115</v>
      </c>
      <c r="C42" t="s">
        <v>248</v>
      </c>
    </row>
  </sheetData>
  <sheetProtection selectLockedCell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Planilha6"/>
  <dimension ref="B5:H120"/>
  <sheetViews>
    <sheetView workbookViewId="0">
      <selection activeCell="D8" sqref="D8"/>
    </sheetView>
  </sheetViews>
  <sheetFormatPr defaultColWidth="9.109375" defaultRowHeight="14.4" x14ac:dyDescent="0.3"/>
  <cols>
    <col min="1" max="2" width="9.109375" style="38"/>
    <col min="3" max="3" width="8.5546875" style="38" bestFit="1" customWidth="1"/>
    <col min="4" max="4" width="45.109375" style="38" customWidth="1"/>
    <col min="5" max="5" width="9.109375" style="38"/>
    <col min="6" max="6" width="18.88671875" style="38" customWidth="1"/>
    <col min="7" max="7" width="9.33203125" style="38" bestFit="1" customWidth="1"/>
    <col min="8" max="8" width="16.5546875" style="38" bestFit="1" customWidth="1"/>
    <col min="9" max="9" width="16.5546875" style="38" customWidth="1"/>
    <col min="10" max="10" width="9.109375" style="38"/>
    <col min="11" max="11" width="45.88671875" style="38" bestFit="1" customWidth="1"/>
    <col min="12" max="16384" width="9.109375" style="38"/>
  </cols>
  <sheetData>
    <row r="5" spans="2:8" x14ac:dyDescent="0.3">
      <c r="C5" s="38" t="s">
        <v>9</v>
      </c>
      <c r="D5" s="38" t="s">
        <v>339</v>
      </c>
      <c r="E5" s="38" t="s">
        <v>212</v>
      </c>
      <c r="F5" s="38" t="s">
        <v>213</v>
      </c>
      <c r="G5" s="38" t="s">
        <v>193</v>
      </c>
      <c r="H5" s="38" t="s">
        <v>211</v>
      </c>
    </row>
    <row r="6" spans="2:8" x14ac:dyDescent="0.3">
      <c r="B6" s="43">
        <v>1</v>
      </c>
      <c r="C6" s="38" t="s">
        <v>11</v>
      </c>
      <c r="D6" s="42" t="s">
        <v>13</v>
      </c>
      <c r="E6" s="40" t="s">
        <v>123</v>
      </c>
      <c r="F6" t="s">
        <v>159</v>
      </c>
      <c r="H6" s="38">
        <v>950</v>
      </c>
    </row>
    <row r="7" spans="2:8" x14ac:dyDescent="0.3">
      <c r="B7" s="43">
        <v>2</v>
      </c>
      <c r="C7" s="38" t="s">
        <v>12</v>
      </c>
      <c r="D7" s="42" t="s">
        <v>10</v>
      </c>
      <c r="E7" s="40" t="s">
        <v>123</v>
      </c>
      <c r="F7" t="s">
        <v>159</v>
      </c>
      <c r="H7" s="38">
        <v>72</v>
      </c>
    </row>
    <row r="8" spans="2:8" x14ac:dyDescent="0.3">
      <c r="B8" s="43">
        <v>3</v>
      </c>
      <c r="C8" s="38" t="s">
        <v>14</v>
      </c>
      <c r="D8" s="42" t="s">
        <v>340</v>
      </c>
      <c r="E8" s="40" t="s">
        <v>123</v>
      </c>
      <c r="F8" t="s">
        <v>159</v>
      </c>
      <c r="H8" s="38">
        <v>44</v>
      </c>
    </row>
    <row r="9" spans="2:8" x14ac:dyDescent="0.3">
      <c r="B9" s="43">
        <v>4</v>
      </c>
      <c r="C9" s="38" t="s">
        <v>16</v>
      </c>
      <c r="D9" s="42" t="s">
        <v>13</v>
      </c>
      <c r="E9" s="40" t="s">
        <v>124</v>
      </c>
      <c r="F9" t="s">
        <v>160</v>
      </c>
      <c r="H9" s="38">
        <v>925</v>
      </c>
    </row>
    <row r="10" spans="2:8" x14ac:dyDescent="0.3">
      <c r="B10" s="43">
        <v>5</v>
      </c>
      <c r="C10" s="38" t="s">
        <v>17</v>
      </c>
      <c r="D10" s="42" t="s">
        <v>10</v>
      </c>
      <c r="E10" s="40" t="s">
        <v>124</v>
      </c>
      <c r="F10" t="s">
        <v>160</v>
      </c>
      <c r="H10" s="38">
        <v>65</v>
      </c>
    </row>
    <row r="11" spans="2:8" x14ac:dyDescent="0.3">
      <c r="B11" s="43">
        <v>6</v>
      </c>
      <c r="C11" s="38" t="s">
        <v>18</v>
      </c>
      <c r="D11" s="42" t="s">
        <v>340</v>
      </c>
      <c r="E11" s="40" t="s">
        <v>124</v>
      </c>
      <c r="F11" t="s">
        <v>160</v>
      </c>
      <c r="H11" s="38">
        <v>45</v>
      </c>
    </row>
    <row r="12" spans="2:8" x14ac:dyDescent="0.3">
      <c r="B12" s="43">
        <v>7</v>
      </c>
      <c r="C12" s="38" t="s">
        <v>19</v>
      </c>
      <c r="D12" s="42" t="s">
        <v>13</v>
      </c>
      <c r="E12" s="40" t="s">
        <v>125</v>
      </c>
      <c r="F12" t="s">
        <v>161</v>
      </c>
      <c r="H12" s="38">
        <v>1086</v>
      </c>
    </row>
    <row r="13" spans="2:8" x14ac:dyDescent="0.3">
      <c r="B13" s="43">
        <v>8</v>
      </c>
      <c r="C13" s="38" t="s">
        <v>20</v>
      </c>
      <c r="D13" s="42" t="s">
        <v>10</v>
      </c>
      <c r="E13" s="40" t="s">
        <v>125</v>
      </c>
      <c r="F13" t="s">
        <v>161</v>
      </c>
      <c r="H13" s="38">
        <v>74</v>
      </c>
    </row>
    <row r="14" spans="2:8" x14ac:dyDescent="0.3">
      <c r="B14" s="43">
        <v>9</v>
      </c>
      <c r="C14" s="38" t="s">
        <v>21</v>
      </c>
      <c r="D14" s="42" t="s">
        <v>340</v>
      </c>
      <c r="E14" s="40" t="s">
        <v>125</v>
      </c>
      <c r="F14" t="s">
        <v>161</v>
      </c>
      <c r="H14" s="38">
        <v>54</v>
      </c>
    </row>
    <row r="15" spans="2:8" x14ac:dyDescent="0.3">
      <c r="B15" s="43">
        <v>10</v>
      </c>
      <c r="C15" s="38" t="s">
        <v>22</v>
      </c>
      <c r="D15" s="42" t="s">
        <v>13</v>
      </c>
      <c r="E15" s="40" t="s">
        <v>126</v>
      </c>
      <c r="F15" t="s">
        <v>162</v>
      </c>
      <c r="H15" s="38">
        <v>994</v>
      </c>
    </row>
    <row r="16" spans="2:8" x14ac:dyDescent="0.3">
      <c r="B16" s="43">
        <v>11</v>
      </c>
      <c r="C16" s="38" t="s">
        <v>23</v>
      </c>
      <c r="D16" s="42" t="s">
        <v>10</v>
      </c>
      <c r="E16" s="40" t="s">
        <v>126</v>
      </c>
      <c r="F16" t="s">
        <v>162</v>
      </c>
      <c r="H16" s="38">
        <v>71</v>
      </c>
    </row>
    <row r="17" spans="2:8" x14ac:dyDescent="0.3">
      <c r="B17" s="43">
        <v>12</v>
      </c>
      <c r="C17" s="38" t="s">
        <v>24</v>
      </c>
      <c r="D17" s="42" t="s">
        <v>340</v>
      </c>
      <c r="E17" s="40" t="s">
        <v>126</v>
      </c>
      <c r="F17" t="s">
        <v>162</v>
      </c>
      <c r="H17" s="38">
        <v>44</v>
      </c>
    </row>
    <row r="18" spans="2:8" x14ac:dyDescent="0.3">
      <c r="B18" s="43">
        <v>13</v>
      </c>
      <c r="C18" s="38" t="s">
        <v>25</v>
      </c>
      <c r="D18" s="42" t="s">
        <v>13</v>
      </c>
      <c r="E18" s="40" t="s">
        <v>127</v>
      </c>
      <c r="F18" t="s">
        <v>163</v>
      </c>
      <c r="H18" s="38">
        <v>1737</v>
      </c>
    </row>
    <row r="19" spans="2:8" x14ac:dyDescent="0.3">
      <c r="B19" s="43">
        <v>14</v>
      </c>
      <c r="C19" s="38" t="s">
        <v>26</v>
      </c>
      <c r="D19" s="42" t="s">
        <v>10</v>
      </c>
      <c r="E19" s="40" t="s">
        <v>127</v>
      </c>
      <c r="F19" t="s">
        <v>163</v>
      </c>
      <c r="H19" s="38">
        <v>63</v>
      </c>
    </row>
    <row r="20" spans="2:8" x14ac:dyDescent="0.3">
      <c r="B20" s="43">
        <v>15</v>
      </c>
      <c r="C20" s="38" t="s">
        <v>27</v>
      </c>
      <c r="D20" s="42" t="s">
        <v>340</v>
      </c>
      <c r="E20" s="40" t="s">
        <v>127</v>
      </c>
      <c r="F20" t="s">
        <v>163</v>
      </c>
      <c r="H20" s="38">
        <v>43</v>
      </c>
    </row>
    <row r="21" spans="2:8" x14ac:dyDescent="0.3">
      <c r="B21" s="43">
        <v>16</v>
      </c>
      <c r="C21" s="38" t="s">
        <v>28</v>
      </c>
      <c r="D21" s="42" t="s">
        <v>13</v>
      </c>
      <c r="E21" s="40" t="s">
        <v>128</v>
      </c>
      <c r="F21" t="s">
        <v>169</v>
      </c>
      <c r="H21" s="38">
        <v>1320</v>
      </c>
    </row>
    <row r="22" spans="2:8" x14ac:dyDescent="0.3">
      <c r="B22" s="43">
        <v>17</v>
      </c>
      <c r="C22" s="38" t="s">
        <v>29</v>
      </c>
      <c r="D22" s="42" t="s">
        <v>10</v>
      </c>
      <c r="E22" s="40" t="s">
        <v>128</v>
      </c>
      <c r="F22" t="s">
        <v>169</v>
      </c>
      <c r="H22" s="38">
        <v>70</v>
      </c>
    </row>
    <row r="23" spans="2:8" x14ac:dyDescent="0.3">
      <c r="B23" s="43">
        <v>18</v>
      </c>
      <c r="C23" s="38" t="s">
        <v>30</v>
      </c>
      <c r="D23" s="42" t="s">
        <v>340</v>
      </c>
      <c r="E23" s="40" t="s">
        <v>128</v>
      </c>
      <c r="F23" t="s">
        <v>169</v>
      </c>
      <c r="H23" s="38">
        <v>43</v>
      </c>
    </row>
    <row r="24" spans="2:8" x14ac:dyDescent="0.3">
      <c r="B24" s="43">
        <v>19</v>
      </c>
      <c r="C24" s="38" t="s">
        <v>31</v>
      </c>
      <c r="D24" s="42" t="s">
        <v>13</v>
      </c>
      <c r="E24" s="40" t="s">
        <v>129</v>
      </c>
      <c r="F24" t="s">
        <v>164</v>
      </c>
      <c r="H24" s="38">
        <v>997</v>
      </c>
    </row>
    <row r="25" spans="2:8" x14ac:dyDescent="0.3">
      <c r="B25" s="43">
        <v>20</v>
      </c>
      <c r="C25" s="38" t="s">
        <v>32</v>
      </c>
      <c r="D25" s="42" t="s">
        <v>10</v>
      </c>
      <c r="E25" s="40" t="s">
        <v>129</v>
      </c>
      <c r="F25" t="s">
        <v>164</v>
      </c>
      <c r="H25" s="38">
        <v>69</v>
      </c>
    </row>
    <row r="26" spans="2:8" x14ac:dyDescent="0.3">
      <c r="B26" s="43">
        <v>21</v>
      </c>
      <c r="C26" s="38" t="s">
        <v>33</v>
      </c>
      <c r="D26" s="42" t="s">
        <v>340</v>
      </c>
      <c r="E26" s="40" t="s">
        <v>129</v>
      </c>
      <c r="F26" t="s">
        <v>164</v>
      </c>
      <c r="H26" s="38">
        <v>42</v>
      </c>
    </row>
    <row r="27" spans="2:8" x14ac:dyDescent="0.3">
      <c r="B27" s="43">
        <v>22</v>
      </c>
      <c r="C27" s="38" t="s">
        <v>34</v>
      </c>
      <c r="D27" s="42" t="s">
        <v>13</v>
      </c>
      <c r="E27" s="40" t="s">
        <v>130</v>
      </c>
      <c r="F27" t="s">
        <v>170</v>
      </c>
      <c r="H27" s="38">
        <v>650</v>
      </c>
    </row>
    <row r="28" spans="2:8" x14ac:dyDescent="0.3">
      <c r="B28" s="43">
        <v>23</v>
      </c>
      <c r="C28" s="38" t="s">
        <v>35</v>
      </c>
      <c r="D28" s="42" t="s">
        <v>10</v>
      </c>
      <c r="E28" s="40" t="s">
        <v>130</v>
      </c>
      <c r="F28" t="s">
        <v>170</v>
      </c>
      <c r="H28" s="38">
        <v>56</v>
      </c>
    </row>
    <row r="29" spans="2:8" x14ac:dyDescent="0.3">
      <c r="B29" s="43">
        <v>24</v>
      </c>
      <c r="C29" s="38" t="s">
        <v>36</v>
      </c>
      <c r="D29" s="42" t="s">
        <v>340</v>
      </c>
      <c r="E29" s="40" t="s">
        <v>130</v>
      </c>
      <c r="F29" t="s">
        <v>170</v>
      </c>
      <c r="H29" s="38">
        <v>43</v>
      </c>
    </row>
    <row r="30" spans="2:8" x14ac:dyDescent="0.3">
      <c r="B30" s="43">
        <v>25</v>
      </c>
      <c r="C30" s="38" t="s">
        <v>37</v>
      </c>
      <c r="D30" s="42" t="s">
        <v>13</v>
      </c>
      <c r="E30" s="40" t="s">
        <v>131</v>
      </c>
      <c r="F30" t="s">
        <v>165</v>
      </c>
      <c r="H30" s="38">
        <v>930</v>
      </c>
    </row>
    <row r="31" spans="2:8" x14ac:dyDescent="0.3">
      <c r="B31" s="43">
        <v>26</v>
      </c>
      <c r="C31" s="38" t="s">
        <v>38</v>
      </c>
      <c r="D31" s="42" t="s">
        <v>10</v>
      </c>
      <c r="E31" s="40" t="s">
        <v>131</v>
      </c>
      <c r="F31" t="s">
        <v>165</v>
      </c>
      <c r="H31" s="38">
        <v>68</v>
      </c>
    </row>
    <row r="32" spans="2:8" x14ac:dyDescent="0.3">
      <c r="B32" s="43">
        <v>27</v>
      </c>
      <c r="C32" s="38" t="s">
        <v>39</v>
      </c>
      <c r="D32" s="42" t="s">
        <v>340</v>
      </c>
      <c r="E32" s="40" t="s">
        <v>131</v>
      </c>
      <c r="F32" t="s">
        <v>165</v>
      </c>
      <c r="H32" s="38">
        <v>41</v>
      </c>
    </row>
    <row r="33" spans="2:8" x14ac:dyDescent="0.3">
      <c r="B33" s="43">
        <v>28</v>
      </c>
      <c r="C33" s="38" t="s">
        <v>40</v>
      </c>
      <c r="D33" s="42" t="s">
        <v>13</v>
      </c>
      <c r="E33" s="40" t="s">
        <v>132</v>
      </c>
      <c r="F33" t="s">
        <v>166</v>
      </c>
      <c r="H33" s="38">
        <v>1121</v>
      </c>
    </row>
    <row r="34" spans="2:8" x14ac:dyDescent="0.3">
      <c r="B34" s="43">
        <v>29</v>
      </c>
      <c r="C34" s="38" t="s">
        <v>41</v>
      </c>
      <c r="D34" s="42" t="s">
        <v>10</v>
      </c>
      <c r="E34" s="40" t="s">
        <v>132</v>
      </c>
      <c r="F34" t="s">
        <v>166</v>
      </c>
      <c r="H34" s="38">
        <v>69</v>
      </c>
    </row>
    <row r="35" spans="2:8" x14ac:dyDescent="0.3">
      <c r="B35" s="43">
        <v>30</v>
      </c>
      <c r="C35" s="38" t="s">
        <v>42</v>
      </c>
      <c r="D35" s="42" t="s">
        <v>340</v>
      </c>
      <c r="E35" s="40" t="s">
        <v>132</v>
      </c>
      <c r="F35" t="s">
        <v>166</v>
      </c>
      <c r="H35" s="38">
        <v>45</v>
      </c>
    </row>
    <row r="36" spans="2:8" x14ac:dyDescent="0.3">
      <c r="B36" s="43">
        <v>31</v>
      </c>
      <c r="C36" s="38" t="s">
        <v>43</v>
      </c>
      <c r="D36" s="42" t="s">
        <v>13</v>
      </c>
      <c r="E36" s="40" t="s">
        <v>133</v>
      </c>
      <c r="F36" t="s">
        <v>167</v>
      </c>
      <c r="H36" s="38">
        <v>837</v>
      </c>
    </row>
    <row r="37" spans="2:8" x14ac:dyDescent="0.3">
      <c r="B37" s="43">
        <v>32</v>
      </c>
      <c r="C37" s="38" t="s">
        <v>44</v>
      </c>
      <c r="D37" s="42" t="s">
        <v>10</v>
      </c>
      <c r="E37" s="40" t="s">
        <v>133</v>
      </c>
      <c r="F37" t="s">
        <v>167</v>
      </c>
      <c r="H37" s="38">
        <v>68</v>
      </c>
    </row>
    <row r="38" spans="2:8" x14ac:dyDescent="0.3">
      <c r="B38" s="43">
        <v>33</v>
      </c>
      <c r="C38" s="38" t="s">
        <v>45</v>
      </c>
      <c r="D38" s="42" t="s">
        <v>340</v>
      </c>
      <c r="E38" s="40" t="s">
        <v>133</v>
      </c>
      <c r="F38" t="s">
        <v>167</v>
      </c>
      <c r="H38" s="38">
        <v>43</v>
      </c>
    </row>
    <row r="39" spans="2:8" x14ac:dyDescent="0.3">
      <c r="B39" s="43">
        <v>34</v>
      </c>
      <c r="C39" s="38" t="s">
        <v>46</v>
      </c>
      <c r="D39" s="42" t="s">
        <v>13</v>
      </c>
      <c r="E39" s="40" t="s">
        <v>134</v>
      </c>
      <c r="F39" t="s">
        <v>168</v>
      </c>
      <c r="H39" s="38">
        <v>1407</v>
      </c>
    </row>
    <row r="40" spans="2:8" x14ac:dyDescent="0.3">
      <c r="B40" s="43">
        <v>35</v>
      </c>
      <c r="C40" s="38" t="s">
        <v>47</v>
      </c>
      <c r="D40" s="42" t="s">
        <v>10</v>
      </c>
      <c r="E40" s="40" t="s">
        <v>134</v>
      </c>
      <c r="F40" t="s">
        <v>168</v>
      </c>
      <c r="H40" s="38">
        <v>87</v>
      </c>
    </row>
    <row r="41" spans="2:8" x14ac:dyDescent="0.3">
      <c r="B41" s="43">
        <v>36</v>
      </c>
      <c r="C41" s="38" t="s">
        <v>48</v>
      </c>
      <c r="D41" s="42" t="s">
        <v>340</v>
      </c>
      <c r="E41" s="40" t="s">
        <v>134</v>
      </c>
      <c r="F41" t="s">
        <v>168</v>
      </c>
      <c r="H41" s="38">
        <v>64</v>
      </c>
    </row>
    <row r="42" spans="2:8" x14ac:dyDescent="0.3">
      <c r="B42" s="43">
        <v>37</v>
      </c>
      <c r="C42" s="38" t="s">
        <v>49</v>
      </c>
      <c r="D42" s="42" t="s">
        <v>13</v>
      </c>
      <c r="E42" s="40" t="s">
        <v>135</v>
      </c>
      <c r="F42" t="s">
        <v>171</v>
      </c>
      <c r="H42" s="38">
        <v>1283</v>
      </c>
    </row>
    <row r="43" spans="2:8" x14ac:dyDescent="0.3">
      <c r="B43" s="43">
        <v>38</v>
      </c>
      <c r="C43" s="38" t="s">
        <v>50</v>
      </c>
      <c r="D43" s="42" t="s">
        <v>10</v>
      </c>
      <c r="E43" s="40" t="s">
        <v>135</v>
      </c>
      <c r="F43" t="s">
        <v>171</v>
      </c>
      <c r="H43" s="38">
        <v>72</v>
      </c>
    </row>
    <row r="44" spans="2:8" x14ac:dyDescent="0.3">
      <c r="B44" s="43">
        <v>39</v>
      </c>
      <c r="C44" s="38" t="s">
        <v>51</v>
      </c>
      <c r="D44" s="42" t="s">
        <v>340</v>
      </c>
      <c r="E44" s="40" t="s">
        <v>135</v>
      </c>
      <c r="F44" t="s">
        <v>171</v>
      </c>
      <c r="H44" s="38">
        <v>43</v>
      </c>
    </row>
    <row r="45" spans="2:8" x14ac:dyDescent="0.3">
      <c r="B45" s="43">
        <v>40</v>
      </c>
      <c r="C45" s="38" t="s">
        <v>52</v>
      </c>
      <c r="D45" s="42" t="s">
        <v>13</v>
      </c>
      <c r="E45" s="40" t="s">
        <v>136</v>
      </c>
      <c r="F45" t="s">
        <v>172</v>
      </c>
      <c r="H45" s="38">
        <v>966</v>
      </c>
    </row>
    <row r="46" spans="2:8" x14ac:dyDescent="0.3">
      <c r="B46" s="43">
        <v>41</v>
      </c>
      <c r="C46" s="38" t="s">
        <v>53</v>
      </c>
      <c r="D46" s="42" t="s">
        <v>10</v>
      </c>
      <c r="E46" s="40" t="s">
        <v>136</v>
      </c>
      <c r="F46" t="s">
        <v>172</v>
      </c>
      <c r="H46" s="38">
        <v>71</v>
      </c>
    </row>
    <row r="47" spans="2:8" x14ac:dyDescent="0.3">
      <c r="B47" s="43">
        <v>42</v>
      </c>
      <c r="C47" s="38" t="s">
        <v>54</v>
      </c>
      <c r="D47" s="42" t="s">
        <v>340</v>
      </c>
      <c r="E47" s="40" t="s">
        <v>136</v>
      </c>
      <c r="F47" t="s">
        <v>172</v>
      </c>
      <c r="H47" s="38">
        <v>42</v>
      </c>
    </row>
    <row r="48" spans="2:8" x14ac:dyDescent="0.3">
      <c r="B48" s="43">
        <v>43</v>
      </c>
      <c r="C48" s="38" t="s">
        <v>55</v>
      </c>
      <c r="D48" s="42" t="s">
        <v>13</v>
      </c>
      <c r="E48" s="40" t="s">
        <v>137</v>
      </c>
      <c r="F48" t="s">
        <v>173</v>
      </c>
      <c r="H48" s="38">
        <v>1080</v>
      </c>
    </row>
    <row r="49" spans="2:8" x14ac:dyDescent="0.3">
      <c r="B49" s="43">
        <v>44</v>
      </c>
      <c r="C49" s="38" t="s">
        <v>56</v>
      </c>
      <c r="D49" s="42" t="s">
        <v>10</v>
      </c>
      <c r="E49" s="40" t="s">
        <v>137</v>
      </c>
      <c r="F49" t="s">
        <v>173</v>
      </c>
      <c r="H49" s="38">
        <v>68</v>
      </c>
    </row>
    <row r="50" spans="2:8" x14ac:dyDescent="0.3">
      <c r="B50" s="43">
        <v>45</v>
      </c>
      <c r="C50" s="38" t="s">
        <v>57</v>
      </c>
      <c r="D50" s="42" t="s">
        <v>340</v>
      </c>
      <c r="E50" s="40" t="s">
        <v>137</v>
      </c>
      <c r="F50" t="s">
        <v>173</v>
      </c>
      <c r="H50" s="38">
        <v>46</v>
      </c>
    </row>
    <row r="51" spans="2:8" x14ac:dyDescent="0.3">
      <c r="B51" s="43">
        <v>46</v>
      </c>
      <c r="C51" s="38" t="s">
        <v>58</v>
      </c>
      <c r="D51" s="42" t="s">
        <v>13</v>
      </c>
      <c r="E51" s="40" t="s">
        <v>138</v>
      </c>
      <c r="F51" t="s">
        <v>174</v>
      </c>
      <c r="H51" s="38">
        <v>751</v>
      </c>
    </row>
    <row r="52" spans="2:8" x14ac:dyDescent="0.3">
      <c r="B52" s="43">
        <v>47</v>
      </c>
      <c r="C52" s="38" t="s">
        <v>59</v>
      </c>
      <c r="D52" s="42" t="s">
        <v>10</v>
      </c>
      <c r="E52" s="40" t="s">
        <v>138</v>
      </c>
      <c r="F52" t="s">
        <v>174</v>
      </c>
      <c r="H52" s="38">
        <v>53</v>
      </c>
    </row>
    <row r="53" spans="2:8" x14ac:dyDescent="0.3">
      <c r="B53" s="43">
        <v>48</v>
      </c>
      <c r="C53" s="38" t="s">
        <v>60</v>
      </c>
      <c r="D53" s="42" t="s">
        <v>340</v>
      </c>
      <c r="E53" s="40" t="s">
        <v>138</v>
      </c>
      <c r="F53" t="s">
        <v>174</v>
      </c>
      <c r="H53" s="38">
        <v>32</v>
      </c>
    </row>
    <row r="54" spans="2:8" x14ac:dyDescent="0.3">
      <c r="B54" s="43">
        <v>49</v>
      </c>
      <c r="C54" s="38" t="s">
        <v>61</v>
      </c>
      <c r="D54" s="42" t="s">
        <v>13</v>
      </c>
      <c r="E54" s="40" t="s">
        <v>139</v>
      </c>
      <c r="F54" t="s">
        <v>175</v>
      </c>
      <c r="H54" s="38">
        <v>1201</v>
      </c>
    </row>
    <row r="55" spans="2:8" x14ac:dyDescent="0.3">
      <c r="B55" s="43">
        <v>50</v>
      </c>
      <c r="C55" s="38" t="s">
        <v>62</v>
      </c>
      <c r="D55" s="42" t="s">
        <v>10</v>
      </c>
      <c r="E55" s="40" t="s">
        <v>139</v>
      </c>
      <c r="F55" t="s">
        <v>175</v>
      </c>
      <c r="H55" s="38">
        <v>68</v>
      </c>
    </row>
    <row r="56" spans="2:8" x14ac:dyDescent="0.3">
      <c r="B56" s="43">
        <v>51</v>
      </c>
      <c r="C56" s="38" t="s">
        <v>63</v>
      </c>
      <c r="D56" s="42" t="s">
        <v>340</v>
      </c>
      <c r="E56" s="40" t="s">
        <v>139</v>
      </c>
      <c r="F56" t="s">
        <v>175</v>
      </c>
      <c r="H56" s="38">
        <v>42</v>
      </c>
    </row>
    <row r="57" spans="2:8" x14ac:dyDescent="0.3">
      <c r="B57" s="43">
        <v>52</v>
      </c>
      <c r="C57" s="38" t="s">
        <v>64</v>
      </c>
      <c r="D57" s="42" t="s">
        <v>13</v>
      </c>
      <c r="E57" s="40" t="s">
        <v>140</v>
      </c>
      <c r="F57" t="s">
        <v>176</v>
      </c>
      <c r="H57" s="38">
        <v>796</v>
      </c>
    </row>
    <row r="58" spans="2:8" x14ac:dyDescent="0.3">
      <c r="B58" s="43">
        <v>53</v>
      </c>
      <c r="C58" s="38" t="s">
        <v>65</v>
      </c>
      <c r="D58" s="42" t="s">
        <v>10</v>
      </c>
      <c r="E58" s="40" t="s">
        <v>140</v>
      </c>
      <c r="F58" t="s">
        <v>176</v>
      </c>
      <c r="H58" s="38">
        <v>67</v>
      </c>
    </row>
    <row r="59" spans="2:8" x14ac:dyDescent="0.3">
      <c r="B59" s="43">
        <v>54</v>
      </c>
      <c r="C59" s="38" t="s">
        <v>66</v>
      </c>
      <c r="D59" s="42" t="s">
        <v>340</v>
      </c>
      <c r="E59" s="40" t="s">
        <v>140</v>
      </c>
      <c r="F59" t="s">
        <v>176</v>
      </c>
      <c r="H59" s="38">
        <v>43</v>
      </c>
    </row>
    <row r="60" spans="2:8" x14ac:dyDescent="0.3">
      <c r="B60" s="43">
        <v>55</v>
      </c>
      <c r="C60" s="38" t="s">
        <v>67</v>
      </c>
      <c r="D60" s="42" t="s">
        <v>13</v>
      </c>
      <c r="E60" s="40" t="s">
        <v>141</v>
      </c>
      <c r="F60" t="s">
        <v>177</v>
      </c>
      <c r="H60" s="38">
        <v>1243</v>
      </c>
    </row>
    <row r="61" spans="2:8" x14ac:dyDescent="0.3">
      <c r="B61" s="43">
        <v>56</v>
      </c>
      <c r="C61" s="38" t="s">
        <v>68</v>
      </c>
      <c r="D61" s="42" t="s">
        <v>10</v>
      </c>
      <c r="E61" s="40" t="s">
        <v>141</v>
      </c>
      <c r="F61" t="s">
        <v>177</v>
      </c>
      <c r="H61" s="38">
        <v>73</v>
      </c>
    </row>
    <row r="62" spans="2:8" x14ac:dyDescent="0.3">
      <c r="B62" s="43">
        <v>57</v>
      </c>
      <c r="C62" s="38" t="s">
        <v>69</v>
      </c>
      <c r="D62" s="42" t="s">
        <v>340</v>
      </c>
      <c r="E62" s="40" t="s">
        <v>141</v>
      </c>
      <c r="F62" t="s">
        <v>177</v>
      </c>
      <c r="H62" s="38">
        <v>46</v>
      </c>
    </row>
    <row r="63" spans="2:8" x14ac:dyDescent="0.3">
      <c r="B63" s="43">
        <v>58</v>
      </c>
      <c r="C63" s="38" t="s">
        <v>70</v>
      </c>
      <c r="D63" s="42" t="s">
        <v>13</v>
      </c>
      <c r="E63" s="40" t="s">
        <v>142</v>
      </c>
      <c r="F63" t="s">
        <v>180</v>
      </c>
      <c r="H63" s="38">
        <v>1301</v>
      </c>
    </row>
    <row r="64" spans="2:8" x14ac:dyDescent="0.3">
      <c r="B64" s="43">
        <v>59</v>
      </c>
      <c r="C64" s="38" t="s">
        <v>71</v>
      </c>
      <c r="D64" s="42" t="s">
        <v>10</v>
      </c>
      <c r="E64" s="40" t="s">
        <v>142</v>
      </c>
      <c r="F64" t="s">
        <v>180</v>
      </c>
      <c r="H64" s="38">
        <v>66</v>
      </c>
    </row>
    <row r="65" spans="2:8" x14ac:dyDescent="0.3">
      <c r="B65" s="43">
        <v>60</v>
      </c>
      <c r="C65" s="38" t="s">
        <v>72</v>
      </c>
      <c r="D65" s="42" t="s">
        <v>340</v>
      </c>
      <c r="E65" s="40" t="s">
        <v>142</v>
      </c>
      <c r="F65" t="s">
        <v>180</v>
      </c>
      <c r="H65" s="38">
        <v>43</v>
      </c>
    </row>
    <row r="66" spans="2:8" x14ac:dyDescent="0.3">
      <c r="B66" s="43">
        <v>61</v>
      </c>
      <c r="C66" s="38" t="s">
        <v>73</v>
      </c>
      <c r="D66" s="42" t="s">
        <v>13</v>
      </c>
      <c r="E66" s="40" t="s">
        <v>143</v>
      </c>
      <c r="F66" t="s">
        <v>181</v>
      </c>
      <c r="H66" s="38">
        <v>991</v>
      </c>
    </row>
    <row r="67" spans="2:8" x14ac:dyDescent="0.3">
      <c r="B67" s="43">
        <v>62</v>
      </c>
      <c r="C67" s="38" t="s">
        <v>74</v>
      </c>
      <c r="D67" s="42" t="s">
        <v>10</v>
      </c>
      <c r="E67" s="40" t="s">
        <v>143</v>
      </c>
      <c r="F67" t="s">
        <v>181</v>
      </c>
      <c r="H67" s="38">
        <v>67</v>
      </c>
    </row>
    <row r="68" spans="2:8" x14ac:dyDescent="0.3">
      <c r="B68" s="43">
        <v>63</v>
      </c>
      <c r="C68" s="38" t="s">
        <v>75</v>
      </c>
      <c r="D68" s="42" t="s">
        <v>340</v>
      </c>
      <c r="E68" s="40" t="s">
        <v>143</v>
      </c>
      <c r="F68" t="s">
        <v>181</v>
      </c>
      <c r="H68" s="38">
        <v>46</v>
      </c>
    </row>
    <row r="69" spans="2:8" x14ac:dyDescent="0.3">
      <c r="B69" s="43">
        <v>64</v>
      </c>
      <c r="C69" s="38" t="s">
        <v>76</v>
      </c>
      <c r="D69" s="42" t="s">
        <v>13</v>
      </c>
      <c r="E69" s="40" t="s">
        <v>144</v>
      </c>
      <c r="F69" t="s">
        <v>178</v>
      </c>
      <c r="H69" s="38">
        <v>819</v>
      </c>
    </row>
    <row r="70" spans="2:8" x14ac:dyDescent="0.3">
      <c r="B70" s="43">
        <v>65</v>
      </c>
      <c r="C70" s="38" t="s">
        <v>77</v>
      </c>
      <c r="D70" s="42" t="s">
        <v>10</v>
      </c>
      <c r="E70" s="40" t="s">
        <v>144</v>
      </c>
      <c r="F70" t="s">
        <v>178</v>
      </c>
      <c r="H70" s="38">
        <v>66</v>
      </c>
    </row>
    <row r="71" spans="2:8" x14ac:dyDescent="0.3">
      <c r="B71" s="43">
        <v>66</v>
      </c>
      <c r="C71" s="38" t="s">
        <v>78</v>
      </c>
      <c r="D71" s="42" t="s">
        <v>340</v>
      </c>
      <c r="E71" s="40" t="s">
        <v>144</v>
      </c>
      <c r="F71" t="s">
        <v>178</v>
      </c>
      <c r="H71" s="38">
        <v>43</v>
      </c>
    </row>
    <row r="72" spans="2:8" x14ac:dyDescent="0.3">
      <c r="B72" s="43">
        <v>67</v>
      </c>
      <c r="C72" s="38" t="s">
        <v>79</v>
      </c>
      <c r="D72" s="42" t="s">
        <v>13</v>
      </c>
      <c r="E72" s="40" t="s">
        <v>145</v>
      </c>
      <c r="F72" t="s">
        <v>179</v>
      </c>
      <c r="H72" s="38">
        <v>1271</v>
      </c>
    </row>
    <row r="73" spans="2:8" x14ac:dyDescent="0.3">
      <c r="B73" s="43">
        <v>68</v>
      </c>
      <c r="C73" s="38" t="s">
        <v>80</v>
      </c>
      <c r="D73" s="42" t="s">
        <v>10</v>
      </c>
      <c r="E73" s="40" t="s">
        <v>145</v>
      </c>
      <c r="F73" t="s">
        <v>179</v>
      </c>
      <c r="H73" s="38">
        <v>68</v>
      </c>
    </row>
    <row r="74" spans="2:8" x14ac:dyDescent="0.3">
      <c r="B74" s="43">
        <v>69</v>
      </c>
      <c r="C74" s="38" t="s">
        <v>81</v>
      </c>
      <c r="D74" s="42" t="s">
        <v>340</v>
      </c>
      <c r="E74" s="40" t="s">
        <v>145</v>
      </c>
      <c r="F74" t="s">
        <v>179</v>
      </c>
      <c r="H74" s="38">
        <v>44</v>
      </c>
    </row>
    <row r="75" spans="2:8" x14ac:dyDescent="0.3">
      <c r="B75" s="43">
        <v>70</v>
      </c>
      <c r="C75" s="38" t="s">
        <v>82</v>
      </c>
      <c r="D75" s="42" t="s">
        <v>13</v>
      </c>
      <c r="E75" s="40" t="s">
        <v>146</v>
      </c>
      <c r="F75" t="s">
        <v>182</v>
      </c>
      <c r="H75" s="38">
        <v>1406</v>
      </c>
    </row>
    <row r="76" spans="2:8" x14ac:dyDescent="0.3">
      <c r="B76" s="43">
        <v>71</v>
      </c>
      <c r="C76" s="38" t="s">
        <v>83</v>
      </c>
      <c r="D76" s="42" t="s">
        <v>10</v>
      </c>
      <c r="E76" s="40" t="s">
        <v>146</v>
      </c>
      <c r="F76" t="s">
        <v>182</v>
      </c>
      <c r="H76" s="38">
        <v>68</v>
      </c>
    </row>
    <row r="77" spans="2:8" x14ac:dyDescent="0.3">
      <c r="B77" s="43">
        <v>72</v>
      </c>
      <c r="C77" s="38" t="s">
        <v>84</v>
      </c>
      <c r="D77" s="42" t="s">
        <v>340</v>
      </c>
      <c r="E77" s="40" t="s">
        <v>146</v>
      </c>
      <c r="F77" t="s">
        <v>182</v>
      </c>
      <c r="H77" s="38">
        <v>43</v>
      </c>
    </row>
    <row r="78" spans="2:8" x14ac:dyDescent="0.3">
      <c r="B78" s="43">
        <v>73</v>
      </c>
      <c r="C78" s="38" t="s">
        <v>85</v>
      </c>
      <c r="D78" s="42" t="s">
        <v>13</v>
      </c>
      <c r="E78" s="40" t="s">
        <v>147</v>
      </c>
      <c r="F78" t="s">
        <v>183</v>
      </c>
      <c r="H78" s="38">
        <v>1396</v>
      </c>
    </row>
    <row r="79" spans="2:8" x14ac:dyDescent="0.3">
      <c r="B79" s="43">
        <v>74</v>
      </c>
      <c r="C79" s="38" t="s">
        <v>86</v>
      </c>
      <c r="D79" s="42" t="s">
        <v>10</v>
      </c>
      <c r="E79" s="40" t="s">
        <v>147</v>
      </c>
      <c r="F79" t="s">
        <v>183</v>
      </c>
      <c r="H79" s="38">
        <v>69</v>
      </c>
    </row>
    <row r="80" spans="2:8" x14ac:dyDescent="0.3">
      <c r="B80" s="43">
        <v>75</v>
      </c>
      <c r="C80" s="38" t="s">
        <v>87</v>
      </c>
      <c r="D80" s="42" t="s">
        <v>340</v>
      </c>
      <c r="E80" s="40" t="s">
        <v>147</v>
      </c>
      <c r="F80" t="s">
        <v>183</v>
      </c>
      <c r="H80" s="38">
        <v>50</v>
      </c>
    </row>
    <row r="81" spans="2:8" x14ac:dyDescent="0.3">
      <c r="B81" s="43">
        <v>76</v>
      </c>
      <c r="C81" s="38" t="s">
        <v>88</v>
      </c>
      <c r="D81" s="42" t="s">
        <v>13</v>
      </c>
      <c r="E81" s="40" t="s">
        <v>148</v>
      </c>
      <c r="F81" t="s">
        <v>184</v>
      </c>
      <c r="H81" s="38">
        <v>1317</v>
      </c>
    </row>
    <row r="82" spans="2:8" x14ac:dyDescent="0.3">
      <c r="B82" s="43">
        <v>77</v>
      </c>
      <c r="C82" s="38" t="s">
        <v>89</v>
      </c>
      <c r="D82" s="42" t="s">
        <v>10</v>
      </c>
      <c r="E82" s="40" t="s">
        <v>148</v>
      </c>
      <c r="F82" t="s">
        <v>184</v>
      </c>
      <c r="H82" s="38">
        <v>69</v>
      </c>
    </row>
    <row r="83" spans="2:8" x14ac:dyDescent="0.3">
      <c r="B83" s="43">
        <v>78</v>
      </c>
      <c r="C83" s="38" t="s">
        <v>90</v>
      </c>
      <c r="D83" s="42" t="s">
        <v>340</v>
      </c>
      <c r="E83" s="40" t="s">
        <v>148</v>
      </c>
      <c r="F83" t="s">
        <v>184</v>
      </c>
      <c r="H83" s="38">
        <v>42</v>
      </c>
    </row>
    <row r="84" spans="2:8" x14ac:dyDescent="0.3">
      <c r="B84" s="43">
        <v>79</v>
      </c>
      <c r="C84" s="38" t="s">
        <v>91</v>
      </c>
      <c r="D84" s="42" t="s">
        <v>13</v>
      </c>
      <c r="E84" s="40" t="s">
        <v>241</v>
      </c>
      <c r="F84" t="s">
        <v>242</v>
      </c>
      <c r="H84" s="38">
        <v>116</v>
      </c>
    </row>
    <row r="85" spans="2:8" x14ac:dyDescent="0.3">
      <c r="B85" s="43">
        <v>80</v>
      </c>
      <c r="C85" s="38" t="s">
        <v>92</v>
      </c>
      <c r="D85" s="42" t="s">
        <v>10</v>
      </c>
      <c r="E85" s="40" t="s">
        <v>241</v>
      </c>
      <c r="F85" t="s">
        <v>242</v>
      </c>
      <c r="H85" s="38">
        <v>18</v>
      </c>
    </row>
    <row r="86" spans="2:8" x14ac:dyDescent="0.3">
      <c r="B86" s="43">
        <v>81</v>
      </c>
      <c r="C86" s="38" t="s">
        <v>93</v>
      </c>
      <c r="D86" s="42" t="s">
        <v>340</v>
      </c>
      <c r="E86" s="40" t="s">
        <v>241</v>
      </c>
      <c r="F86" t="s">
        <v>242</v>
      </c>
      <c r="H86" s="38">
        <v>17</v>
      </c>
    </row>
    <row r="87" spans="2:8" x14ac:dyDescent="0.3">
      <c r="B87" s="43">
        <v>82</v>
      </c>
      <c r="C87" s="38" t="s">
        <v>94</v>
      </c>
      <c r="D87" s="42" t="s">
        <v>13</v>
      </c>
      <c r="E87" s="40" t="s">
        <v>149</v>
      </c>
      <c r="F87" t="s">
        <v>185</v>
      </c>
      <c r="H87" s="38">
        <v>6031</v>
      </c>
    </row>
    <row r="88" spans="2:8" x14ac:dyDescent="0.3">
      <c r="B88" s="43">
        <v>83</v>
      </c>
      <c r="C88" s="38" t="s">
        <v>95</v>
      </c>
      <c r="D88" s="42" t="s">
        <v>10</v>
      </c>
      <c r="E88" s="40" t="s">
        <v>149</v>
      </c>
      <c r="F88" t="s">
        <v>185</v>
      </c>
      <c r="H88" s="38">
        <v>327</v>
      </c>
    </row>
    <row r="89" spans="2:8" x14ac:dyDescent="0.3">
      <c r="B89" s="43">
        <v>84</v>
      </c>
      <c r="C89" s="38" t="s">
        <v>96</v>
      </c>
      <c r="D89" s="42" t="s">
        <v>340</v>
      </c>
      <c r="E89" s="40" t="s">
        <v>149</v>
      </c>
      <c r="F89" t="s">
        <v>185</v>
      </c>
      <c r="H89" s="38">
        <v>181</v>
      </c>
    </row>
    <row r="90" spans="2:8" x14ac:dyDescent="0.3">
      <c r="B90" s="43">
        <v>85</v>
      </c>
      <c r="C90" s="38" t="s">
        <v>97</v>
      </c>
      <c r="D90" s="42" t="s">
        <v>13</v>
      </c>
      <c r="E90" s="40" t="s">
        <v>150</v>
      </c>
      <c r="F90" t="s">
        <v>186</v>
      </c>
      <c r="H90" s="38">
        <v>929</v>
      </c>
    </row>
    <row r="91" spans="2:8" x14ac:dyDescent="0.3">
      <c r="B91" s="43">
        <v>86</v>
      </c>
      <c r="C91" s="38" t="s">
        <v>98</v>
      </c>
      <c r="D91" s="42" t="s">
        <v>10</v>
      </c>
      <c r="E91" s="40" t="s">
        <v>150</v>
      </c>
      <c r="F91" t="s">
        <v>186</v>
      </c>
      <c r="H91" s="38">
        <v>67</v>
      </c>
    </row>
    <row r="92" spans="2:8" x14ac:dyDescent="0.3">
      <c r="B92" s="43">
        <v>87</v>
      </c>
      <c r="C92" s="38" t="s">
        <v>99</v>
      </c>
      <c r="D92" s="42" t="s">
        <v>340</v>
      </c>
      <c r="E92" s="40" t="s">
        <v>150</v>
      </c>
      <c r="F92" t="s">
        <v>186</v>
      </c>
      <c r="H92" s="38">
        <v>41</v>
      </c>
    </row>
    <row r="93" spans="2:8" x14ac:dyDescent="0.3">
      <c r="B93" s="43">
        <v>88</v>
      </c>
      <c r="C93" s="38" t="s">
        <v>100</v>
      </c>
      <c r="D93" s="42" t="s">
        <v>13</v>
      </c>
      <c r="E93" s="40" t="s">
        <v>151</v>
      </c>
      <c r="F93" t="s">
        <v>187</v>
      </c>
      <c r="H93" s="38">
        <v>1406</v>
      </c>
    </row>
    <row r="94" spans="2:8" x14ac:dyDescent="0.3">
      <c r="B94" s="43">
        <v>89</v>
      </c>
      <c r="C94" s="38" t="s">
        <v>101</v>
      </c>
      <c r="D94" s="42" t="s">
        <v>10</v>
      </c>
      <c r="E94" s="40" t="s">
        <v>151</v>
      </c>
      <c r="F94" t="s">
        <v>187</v>
      </c>
      <c r="H94" s="38">
        <v>94</v>
      </c>
    </row>
    <row r="95" spans="2:8" x14ac:dyDescent="0.3">
      <c r="B95" s="43">
        <v>90</v>
      </c>
      <c r="C95" s="38" t="s">
        <v>102</v>
      </c>
      <c r="D95" s="42" t="s">
        <v>340</v>
      </c>
      <c r="E95" s="40" t="s">
        <v>151</v>
      </c>
      <c r="F95" t="s">
        <v>187</v>
      </c>
      <c r="H95" s="38">
        <v>60</v>
      </c>
    </row>
    <row r="96" spans="2:8" x14ac:dyDescent="0.3">
      <c r="B96" s="43">
        <v>91</v>
      </c>
      <c r="C96" s="38" t="s">
        <v>103</v>
      </c>
      <c r="D96" s="42" t="s">
        <v>13</v>
      </c>
      <c r="E96" s="40" t="s">
        <v>152</v>
      </c>
      <c r="F96" t="s">
        <v>188</v>
      </c>
      <c r="H96" s="38">
        <v>812</v>
      </c>
    </row>
    <row r="97" spans="2:8" x14ac:dyDescent="0.3">
      <c r="B97" s="43">
        <v>92</v>
      </c>
      <c r="C97" s="38" t="s">
        <v>104</v>
      </c>
      <c r="D97" s="42" t="s">
        <v>10</v>
      </c>
      <c r="E97" s="40" t="s">
        <v>152</v>
      </c>
      <c r="F97" t="s">
        <v>188</v>
      </c>
      <c r="H97" s="38">
        <v>56</v>
      </c>
    </row>
    <row r="98" spans="2:8" x14ac:dyDescent="0.3">
      <c r="B98" s="43">
        <v>93</v>
      </c>
      <c r="C98" s="38" t="s">
        <v>105</v>
      </c>
      <c r="D98" s="42" t="s">
        <v>340</v>
      </c>
      <c r="E98" s="40" t="s">
        <v>152</v>
      </c>
      <c r="F98" t="s">
        <v>188</v>
      </c>
      <c r="H98" s="38">
        <v>42</v>
      </c>
    </row>
    <row r="99" spans="2:8" x14ac:dyDescent="0.3">
      <c r="B99" s="43">
        <v>94</v>
      </c>
      <c r="C99" s="38" t="s">
        <v>106</v>
      </c>
      <c r="D99" s="42" t="s">
        <v>13</v>
      </c>
      <c r="E99" s="40" t="s">
        <v>153</v>
      </c>
      <c r="F99" t="s">
        <v>189</v>
      </c>
      <c r="H99" s="38">
        <v>1303</v>
      </c>
    </row>
    <row r="100" spans="2:8" x14ac:dyDescent="0.3">
      <c r="B100" s="43">
        <v>95</v>
      </c>
      <c r="C100" s="38" t="s">
        <v>107</v>
      </c>
      <c r="D100" s="42" t="s">
        <v>10</v>
      </c>
      <c r="E100" s="40" t="s">
        <v>153</v>
      </c>
      <c r="F100" t="s">
        <v>189</v>
      </c>
      <c r="H100" s="38">
        <v>67</v>
      </c>
    </row>
    <row r="101" spans="2:8" x14ac:dyDescent="0.3">
      <c r="B101" s="43">
        <v>96</v>
      </c>
      <c r="C101" s="38" t="s">
        <v>108</v>
      </c>
      <c r="D101" s="42" t="s">
        <v>340</v>
      </c>
      <c r="E101" s="40" t="s">
        <v>153</v>
      </c>
      <c r="F101" t="s">
        <v>189</v>
      </c>
      <c r="H101" s="38">
        <v>43</v>
      </c>
    </row>
    <row r="102" spans="2:8" x14ac:dyDescent="0.3">
      <c r="B102" s="43">
        <v>97</v>
      </c>
      <c r="C102" s="38" t="s">
        <v>109</v>
      </c>
      <c r="D102" s="42" t="s">
        <v>13</v>
      </c>
      <c r="E102" s="40" t="s">
        <v>154</v>
      </c>
      <c r="F102" t="s">
        <v>190</v>
      </c>
      <c r="H102" s="38">
        <v>876</v>
      </c>
    </row>
    <row r="103" spans="2:8" x14ac:dyDescent="0.3">
      <c r="B103" s="43">
        <v>98</v>
      </c>
      <c r="C103" s="38" t="s">
        <v>110</v>
      </c>
      <c r="D103" s="42" t="s">
        <v>10</v>
      </c>
      <c r="E103" s="40" t="s">
        <v>154</v>
      </c>
      <c r="F103" t="s">
        <v>190</v>
      </c>
      <c r="H103" s="38">
        <v>71</v>
      </c>
    </row>
    <row r="104" spans="2:8" x14ac:dyDescent="0.3">
      <c r="B104" s="43">
        <v>99</v>
      </c>
      <c r="C104" s="38" t="s">
        <v>111</v>
      </c>
      <c r="D104" s="42" t="s">
        <v>340</v>
      </c>
      <c r="E104" s="40" t="s">
        <v>154</v>
      </c>
      <c r="F104" t="s">
        <v>190</v>
      </c>
      <c r="H104" s="38">
        <v>44</v>
      </c>
    </row>
    <row r="105" spans="2:8" x14ac:dyDescent="0.3">
      <c r="B105" s="43">
        <v>100</v>
      </c>
      <c r="C105" s="38" t="s">
        <v>112</v>
      </c>
      <c r="D105" s="42" t="s">
        <v>13</v>
      </c>
      <c r="E105" s="40" t="s">
        <v>155</v>
      </c>
      <c r="F105" t="s">
        <v>191</v>
      </c>
      <c r="G105" s="38" t="s">
        <v>193</v>
      </c>
      <c r="H105" s="38">
        <v>215</v>
      </c>
    </row>
    <row r="106" spans="2:8" x14ac:dyDescent="0.3">
      <c r="B106" s="43">
        <v>101</v>
      </c>
      <c r="C106" s="38" t="s">
        <v>113</v>
      </c>
      <c r="D106" s="42" t="s">
        <v>10</v>
      </c>
      <c r="E106" s="40" t="s">
        <v>155</v>
      </c>
      <c r="F106" t="s">
        <v>191</v>
      </c>
      <c r="G106" s="38" t="s">
        <v>193</v>
      </c>
      <c r="H106" s="38">
        <v>21</v>
      </c>
    </row>
    <row r="107" spans="2:8" x14ac:dyDescent="0.3">
      <c r="B107" s="43">
        <v>102</v>
      </c>
      <c r="C107" s="38" t="s">
        <v>114</v>
      </c>
      <c r="D107" s="42" t="s">
        <v>340</v>
      </c>
      <c r="E107" s="40" t="s">
        <v>155</v>
      </c>
      <c r="F107" t="s">
        <v>191</v>
      </c>
      <c r="G107" s="38" t="s">
        <v>193</v>
      </c>
      <c r="H107" s="38">
        <v>12</v>
      </c>
    </row>
    <row r="108" spans="2:8" x14ac:dyDescent="0.3">
      <c r="B108" s="43">
        <v>103</v>
      </c>
      <c r="C108" s="38" t="s">
        <v>115</v>
      </c>
      <c r="D108" s="42" t="s">
        <v>13</v>
      </c>
      <c r="E108" s="40" t="s">
        <v>156</v>
      </c>
      <c r="F108" t="s">
        <v>192</v>
      </c>
      <c r="G108" s="38" t="s">
        <v>193</v>
      </c>
      <c r="H108" s="38">
        <v>299</v>
      </c>
    </row>
    <row r="109" spans="2:8" x14ac:dyDescent="0.3">
      <c r="B109" s="43">
        <v>104</v>
      </c>
      <c r="C109" s="38" t="s">
        <v>116</v>
      </c>
      <c r="D109" s="42" t="s">
        <v>10</v>
      </c>
      <c r="E109" s="40" t="s">
        <v>156</v>
      </c>
      <c r="F109" t="s">
        <v>192</v>
      </c>
      <c r="G109" s="38" t="s">
        <v>193</v>
      </c>
      <c r="H109" s="38">
        <v>24</v>
      </c>
    </row>
    <row r="110" spans="2:8" x14ac:dyDescent="0.3">
      <c r="B110" s="43">
        <v>105</v>
      </c>
      <c r="C110" s="38" t="s">
        <v>117</v>
      </c>
      <c r="D110" s="42" t="s">
        <v>340</v>
      </c>
      <c r="E110" s="40" t="s">
        <v>156</v>
      </c>
      <c r="F110" t="s">
        <v>192</v>
      </c>
      <c r="G110" s="38" t="s">
        <v>193</v>
      </c>
      <c r="H110" s="38">
        <v>15</v>
      </c>
    </row>
    <row r="111" spans="2:8" x14ac:dyDescent="0.3">
      <c r="B111" s="43">
        <v>106</v>
      </c>
      <c r="C111" s="38" t="s">
        <v>118</v>
      </c>
      <c r="D111" s="42" t="s">
        <v>13</v>
      </c>
      <c r="E111" s="40" t="s">
        <v>157</v>
      </c>
      <c r="F111" t="s">
        <v>194</v>
      </c>
      <c r="G111" s="38" t="s">
        <v>193</v>
      </c>
      <c r="H111" s="38">
        <v>299</v>
      </c>
    </row>
    <row r="112" spans="2:8" x14ac:dyDescent="0.3">
      <c r="B112" s="43">
        <v>107</v>
      </c>
      <c r="C112" s="38" t="s">
        <v>119</v>
      </c>
      <c r="D112" s="42" t="s">
        <v>10</v>
      </c>
      <c r="E112" s="40" t="s">
        <v>157</v>
      </c>
      <c r="F112" t="s">
        <v>194</v>
      </c>
      <c r="G112" s="38" t="s">
        <v>193</v>
      </c>
      <c r="H112" s="38">
        <v>25</v>
      </c>
    </row>
    <row r="113" spans="2:8" x14ac:dyDescent="0.3">
      <c r="B113" s="43">
        <v>108</v>
      </c>
      <c r="C113" s="38" t="s">
        <v>120</v>
      </c>
      <c r="D113" s="42" t="s">
        <v>340</v>
      </c>
      <c r="E113" s="40" t="s">
        <v>157</v>
      </c>
      <c r="F113" t="s">
        <v>194</v>
      </c>
      <c r="G113" s="38" t="s">
        <v>193</v>
      </c>
      <c r="H113" s="38">
        <v>13</v>
      </c>
    </row>
    <row r="114" spans="2:8" x14ac:dyDescent="0.3">
      <c r="B114" s="43">
        <v>109</v>
      </c>
      <c r="C114" s="38" t="s">
        <v>121</v>
      </c>
      <c r="D114" s="42" t="s">
        <v>13</v>
      </c>
      <c r="E114" s="40" t="s">
        <v>158</v>
      </c>
      <c r="F114" t="s">
        <v>195</v>
      </c>
      <c r="G114" s="38" t="s">
        <v>193</v>
      </c>
      <c r="H114" s="38">
        <v>352</v>
      </c>
    </row>
    <row r="115" spans="2:8" x14ac:dyDescent="0.3">
      <c r="B115" s="43">
        <v>110</v>
      </c>
      <c r="C115" s="38" t="s">
        <v>333</v>
      </c>
      <c r="D115" s="42" t="s">
        <v>10</v>
      </c>
      <c r="E115" s="40" t="s">
        <v>158</v>
      </c>
      <c r="F115" t="s">
        <v>195</v>
      </c>
      <c r="G115" s="38" t="s">
        <v>193</v>
      </c>
      <c r="H115" s="38">
        <v>23</v>
      </c>
    </row>
    <row r="116" spans="2:8" x14ac:dyDescent="0.3">
      <c r="B116" s="43">
        <v>111</v>
      </c>
      <c r="C116" s="38" t="s">
        <v>334</v>
      </c>
      <c r="D116" s="42" t="s">
        <v>340</v>
      </c>
      <c r="E116" s="40" t="s">
        <v>158</v>
      </c>
      <c r="F116" t="s">
        <v>195</v>
      </c>
      <c r="G116" s="38" t="s">
        <v>193</v>
      </c>
      <c r="H116" s="38">
        <v>17</v>
      </c>
    </row>
    <row r="117" spans="2:8" x14ac:dyDescent="0.3">
      <c r="B117" s="43">
        <v>112</v>
      </c>
      <c r="C117" s="38" t="s">
        <v>335</v>
      </c>
      <c r="D117" s="42" t="s">
        <v>13</v>
      </c>
      <c r="E117" s="40" t="s">
        <v>243</v>
      </c>
      <c r="F117" t="s">
        <v>244</v>
      </c>
      <c r="H117" s="38">
        <v>44</v>
      </c>
    </row>
    <row r="118" spans="2:8" x14ac:dyDescent="0.3">
      <c r="B118" s="43">
        <v>113</v>
      </c>
      <c r="C118" s="38" t="s">
        <v>336</v>
      </c>
      <c r="D118" s="42" t="s">
        <v>13</v>
      </c>
      <c r="E118" s="40" t="s">
        <v>245</v>
      </c>
      <c r="F118" t="s">
        <v>246</v>
      </c>
      <c r="H118" s="38">
        <v>37</v>
      </c>
    </row>
    <row r="119" spans="2:8" x14ac:dyDescent="0.3">
      <c r="B119" s="43">
        <v>114</v>
      </c>
      <c r="C119" s="38" t="s">
        <v>337</v>
      </c>
      <c r="D119" s="42" t="s">
        <v>10</v>
      </c>
      <c r="E119" s="41">
        <v>114</v>
      </c>
      <c r="F119" t="s">
        <v>247</v>
      </c>
      <c r="H119" s="38">
        <v>13</v>
      </c>
    </row>
    <row r="120" spans="2:8" x14ac:dyDescent="0.3">
      <c r="B120" s="43">
        <v>115</v>
      </c>
      <c r="C120" s="38" t="s">
        <v>338</v>
      </c>
      <c r="D120" s="42" t="s">
        <v>340</v>
      </c>
      <c r="E120" s="41">
        <v>115</v>
      </c>
      <c r="F120" t="s">
        <v>248</v>
      </c>
      <c r="H120" s="38">
        <v>269</v>
      </c>
    </row>
  </sheetData>
  <sheetProtection selectLockedCells="1"/>
  <phoneticPr fontId="18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Planilha9"/>
  <dimension ref="A1:M31"/>
  <sheetViews>
    <sheetView workbookViewId="0">
      <selection activeCell="D8" sqref="D8"/>
    </sheetView>
  </sheetViews>
  <sheetFormatPr defaultColWidth="9.109375" defaultRowHeight="14.4" x14ac:dyDescent="0.3"/>
  <cols>
    <col min="1" max="2" width="9.109375" style="1"/>
    <col min="3" max="3" width="40.33203125" style="1" customWidth="1"/>
    <col min="4" max="4" width="25.6640625" style="1" customWidth="1"/>
    <col min="5" max="7" width="10.6640625" style="1" customWidth="1"/>
    <col min="8" max="8" width="18.5546875" style="1" bestFit="1" customWidth="1"/>
    <col min="9" max="16384" width="9.109375" style="1"/>
  </cols>
  <sheetData>
    <row r="1" spans="1:13" x14ac:dyDescent="0.3">
      <c r="A1" s="2"/>
    </row>
    <row r="2" spans="1:13" ht="28.8" x14ac:dyDescent="0.3">
      <c r="B2" s="4" t="s">
        <v>196</v>
      </c>
    </row>
    <row r="3" spans="1:13" ht="23.4" x14ac:dyDescent="0.3">
      <c r="B3" s="5" t="e">
        <f>_xlfn.CONCAT("Diretor Geral - Câmpus ",VLOOKUP($H$3,campus!$A$2:$C$38,3))</f>
        <v>#N/A</v>
      </c>
    </row>
    <row r="5" spans="1:13" ht="15" thickBot="1" x14ac:dyDescent="0.35">
      <c r="K5" s="2">
        <f>LARGE(D22:D22,1)</f>
        <v>0</v>
      </c>
      <c r="L5" s="2"/>
      <c r="M5" s="2"/>
    </row>
    <row r="6" spans="1:13" ht="24.9" customHeight="1" x14ac:dyDescent="0.3">
      <c r="B6" s="62" t="s">
        <v>9</v>
      </c>
      <c r="C6" s="63" t="s">
        <v>204</v>
      </c>
      <c r="D6" s="79" t="s">
        <v>197</v>
      </c>
      <c r="E6" s="80"/>
      <c r="F6" s="80"/>
      <c r="G6" s="81"/>
      <c r="H6" s="82" t="s">
        <v>205</v>
      </c>
      <c r="K6" s="2" t="s">
        <v>215</v>
      </c>
      <c r="L6" s="2"/>
      <c r="M6" s="2"/>
    </row>
    <row r="7" spans="1:13" ht="51" customHeight="1" x14ac:dyDescent="0.3">
      <c r="B7" s="77"/>
      <c r="C7" s="78"/>
      <c r="D7" s="6" t="e">
        <f>VLOOKUP($H$3,campus!$A$2:$P$37,6)</f>
        <v>#N/A</v>
      </c>
      <c r="E7" s="7" t="s">
        <v>198</v>
      </c>
      <c r="F7" s="7" t="s">
        <v>199</v>
      </c>
      <c r="G7" s="6" t="s">
        <v>210</v>
      </c>
      <c r="H7" s="83"/>
      <c r="K7" s="2"/>
      <c r="L7" s="2"/>
      <c r="M7" s="2"/>
    </row>
    <row r="8" spans="1:13" ht="33.9" customHeight="1" x14ac:dyDescent="0.3">
      <c r="B8" s="9" t="e">
        <f>VLOOKUP(3*$H$3-2,urnas!$B$6:$D$114,2)</f>
        <v>#N/A</v>
      </c>
      <c r="C8" s="21" t="e">
        <f>VLOOKUP(3*$H$3-2,urnas!$B$6:$D$114,3)</f>
        <v>#N/A</v>
      </c>
      <c r="D8" s="17"/>
      <c r="E8" s="17"/>
      <c r="F8" s="17"/>
      <c r="G8" s="8">
        <f>SUM(D8:F8)</f>
        <v>0</v>
      </c>
      <c r="H8" s="15" t="e">
        <f>VLOOKUP(B8,urnas!$C$6:$H$114,6)</f>
        <v>#N/A</v>
      </c>
      <c r="K8" s="2"/>
      <c r="L8" s="2"/>
      <c r="M8" s="2"/>
    </row>
    <row r="9" spans="1:13" ht="33.9" customHeight="1" x14ac:dyDescent="0.3">
      <c r="B9" s="9" t="e">
        <f>VLOOKUP(3*$H$3-1,urnas!$B$6:$D$114,2)</f>
        <v>#N/A</v>
      </c>
      <c r="C9" s="21" t="e">
        <f>VLOOKUP(3*$H$3-1,urnas!$B$6:$D$114,3)</f>
        <v>#N/A</v>
      </c>
      <c r="D9" s="17"/>
      <c r="E9" s="17"/>
      <c r="F9" s="17"/>
      <c r="G9" s="8">
        <f>SUM(D9:F9)</f>
        <v>0</v>
      </c>
      <c r="H9" s="15" t="e">
        <f>VLOOKUP(B9,urnas!$C$6:$H$114,6)</f>
        <v>#N/A</v>
      </c>
      <c r="K9" s="2"/>
      <c r="L9" s="2"/>
      <c r="M9" s="2"/>
    </row>
    <row r="10" spans="1:13" ht="33.9" customHeight="1" thickBot="1" x14ac:dyDescent="0.35">
      <c r="B10" s="10" t="e">
        <f>VLOOKUP(3*$H$3,urnas!$B$6:$D$114,2)</f>
        <v>#N/A</v>
      </c>
      <c r="C10" s="22" t="e">
        <f>VLOOKUP(3*$H$3,urnas!$B$6:$D$114,3)</f>
        <v>#N/A</v>
      </c>
      <c r="D10" s="17"/>
      <c r="E10" s="17"/>
      <c r="F10" s="17"/>
      <c r="G10" s="11">
        <f>SUM(D10:F10)</f>
        <v>0</v>
      </c>
      <c r="H10" s="16" t="e">
        <f>VLOOKUP(B10,urnas!$C$6:$H$114,6)</f>
        <v>#N/A</v>
      </c>
      <c r="K10" s="2"/>
      <c r="L10" s="2"/>
      <c r="M10" s="2"/>
    </row>
    <row r="11" spans="1:13" ht="24.9" customHeight="1" thickBot="1" x14ac:dyDescent="0.35">
      <c r="C11" s="18" t="s">
        <v>221</v>
      </c>
      <c r="D11" s="19">
        <f>SUM(D8:D10)</f>
        <v>0</v>
      </c>
      <c r="E11" s="29">
        <f t="shared" ref="E11:G11" si="0">SUM(E8:E10)</f>
        <v>0</v>
      </c>
      <c r="F11" s="19">
        <f t="shared" si="0"/>
        <v>0</v>
      </c>
      <c r="G11" s="20">
        <f t="shared" si="0"/>
        <v>0</v>
      </c>
    </row>
    <row r="15" spans="1:13" ht="21" x14ac:dyDescent="0.3">
      <c r="C15" s="3" t="s">
        <v>229</v>
      </c>
      <c r="G15" s="3" t="s">
        <v>222</v>
      </c>
    </row>
    <row r="16" spans="1:13" ht="15" thickBot="1" x14ac:dyDescent="0.35"/>
    <row r="17" spans="2:11" ht="24.9" customHeight="1" x14ac:dyDescent="0.3">
      <c r="B17" s="12"/>
      <c r="C17" s="62" t="s">
        <v>207</v>
      </c>
      <c r="D17" s="14" t="s">
        <v>206</v>
      </c>
      <c r="G17" s="62" t="s">
        <v>206</v>
      </c>
      <c r="H17" s="63"/>
      <c r="I17" s="63"/>
      <c r="J17" s="63"/>
      <c r="K17" s="26" t="s">
        <v>214</v>
      </c>
    </row>
    <row r="18" spans="2:11" ht="51" customHeight="1" thickBot="1" x14ac:dyDescent="0.35">
      <c r="B18" s="12"/>
      <c r="C18" s="77"/>
      <c r="D18" s="6" t="e">
        <f>VLOOKUP($H$3,campus!$A$2:$P$37,6)</f>
        <v>#N/A</v>
      </c>
      <c r="F18" s="30" t="s">
        <v>218</v>
      </c>
      <c r="G18" s="100"/>
      <c r="H18" s="101"/>
      <c r="I18" s="101"/>
      <c r="J18" s="101"/>
      <c r="K18" s="28" t="str">
        <f>IF(COUNTA(D8:F10)=9,K5,"")</f>
        <v/>
      </c>
    </row>
    <row r="19" spans="2:11" ht="24.9" customHeight="1" x14ac:dyDescent="0.3">
      <c r="B19" s="12"/>
      <c r="C19" s="9" t="s">
        <v>208</v>
      </c>
      <c r="D19" s="31">
        <f>IF(ISBLANK(D8),0,100*(1/3*(D8/$H8)))</f>
        <v>0</v>
      </c>
    </row>
    <row r="20" spans="2:11" ht="24.9" customHeight="1" x14ac:dyDescent="0.3">
      <c r="B20" s="12"/>
      <c r="C20" s="9" t="s">
        <v>209</v>
      </c>
      <c r="D20" s="31">
        <f>IF(ISBLANK(D9),0,100*(1/3*(D9/$H9)))</f>
        <v>0</v>
      </c>
      <c r="F20" s="5" t="str">
        <f>IF(COUNTA(D8:F10)=9,"Eleição encerrada no primeiro turno.","")</f>
        <v/>
      </c>
    </row>
    <row r="21" spans="2:11" ht="24.9" customHeight="1" x14ac:dyDescent="0.3">
      <c r="B21" s="12"/>
      <c r="C21" s="9" t="s">
        <v>15</v>
      </c>
      <c r="D21" s="31">
        <f>IF(ISBLANK(D10),0,100*(1/3*(D10/$H10)))</f>
        <v>0</v>
      </c>
      <c r="F21" s="5"/>
    </row>
    <row r="22" spans="2:11" ht="16.2" thickBot="1" x14ac:dyDescent="0.35">
      <c r="C22" s="23" t="s">
        <v>214</v>
      </c>
      <c r="D22" s="24">
        <f>SUM(D19:D21)</f>
        <v>0</v>
      </c>
    </row>
    <row r="23" spans="2:11" x14ac:dyDescent="0.3">
      <c r="D23" s="2" t="e">
        <f>D18</f>
        <v>#N/A</v>
      </c>
    </row>
    <row r="28" spans="2:11" ht="24.9" customHeight="1" x14ac:dyDescent="0.3"/>
    <row r="29" spans="2:11" ht="33.9" customHeight="1" x14ac:dyDescent="0.3"/>
    <row r="30" spans="2:11" ht="33.9" customHeight="1" x14ac:dyDescent="0.3"/>
    <row r="31" spans="2:11" ht="33.9" customHeight="1" x14ac:dyDescent="0.3"/>
  </sheetData>
  <sheetProtection algorithmName="SHA-512" hashValue="+z8O/MnTWxk5X/whGOX3hB0jLnpa348sIAjyv+LtGLB55GotnPautYudl2gqf5R99UAs61D60ErqYtdYZNf26w==" saltValue="jXoOtpAxJDFauCSiPiLzrg==" spinCount="100000" sheet="1" objects="1" scenarios="1" selectLockedCells="1"/>
  <mergeCells count="7">
    <mergeCell ref="B6:B7"/>
    <mergeCell ref="C6:C7"/>
    <mergeCell ref="D6:G6"/>
    <mergeCell ref="H6:H7"/>
    <mergeCell ref="C17:C18"/>
    <mergeCell ref="G17:J17"/>
    <mergeCell ref="G18:J18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Planilha7"/>
  <dimension ref="A1:O31"/>
  <sheetViews>
    <sheetView topLeftCell="D1" workbookViewId="0">
      <selection activeCell="D8" sqref="D8"/>
    </sheetView>
  </sheetViews>
  <sheetFormatPr defaultColWidth="9.109375" defaultRowHeight="14.4" x14ac:dyDescent="0.3"/>
  <cols>
    <col min="1" max="2" width="9.109375" style="1"/>
    <col min="3" max="3" width="40.33203125" style="1" customWidth="1"/>
    <col min="4" max="5" width="25.6640625" style="1" customWidth="1"/>
    <col min="6" max="8" width="10.6640625" style="1" customWidth="1"/>
    <col min="9" max="9" width="18.5546875" style="1" bestFit="1" customWidth="1"/>
    <col min="10" max="16384" width="9.109375" style="1"/>
  </cols>
  <sheetData>
    <row r="1" spans="1:15" x14ac:dyDescent="0.3">
      <c r="A1" s="2"/>
    </row>
    <row r="2" spans="1:15" ht="28.8" x14ac:dyDescent="0.3">
      <c r="B2" s="4" t="s">
        <v>196</v>
      </c>
    </row>
    <row r="3" spans="1:15" ht="23.4" x14ac:dyDescent="0.3">
      <c r="B3" s="5" t="e">
        <f>_xlfn.CONCAT("Diretor Geral - Câmpus ",VLOOKUP($H$3,campus!$A$2:$C$38,3))</f>
        <v>#N/A</v>
      </c>
    </row>
    <row r="5" spans="1:15" ht="15" thickBot="1" x14ac:dyDescent="0.35">
      <c r="L5" s="2">
        <f>LARGE(D22:E22,1)</f>
        <v>0</v>
      </c>
      <c r="M5" s="2">
        <f>LARGE(D22:E22,2)</f>
        <v>0</v>
      </c>
      <c r="N5" s="2"/>
      <c r="O5" s="2"/>
    </row>
    <row r="6" spans="1:15" ht="24.9" customHeight="1" x14ac:dyDescent="0.3">
      <c r="B6" s="62" t="s">
        <v>9</v>
      </c>
      <c r="C6" s="63" t="s">
        <v>204</v>
      </c>
      <c r="D6" s="79" t="s">
        <v>197</v>
      </c>
      <c r="E6" s="80"/>
      <c r="F6" s="80"/>
      <c r="G6" s="80"/>
      <c r="H6" s="81"/>
      <c r="I6" s="82" t="s">
        <v>205</v>
      </c>
      <c r="L6" s="2" t="s">
        <v>215</v>
      </c>
      <c r="M6" s="2" t="s">
        <v>216</v>
      </c>
      <c r="N6" s="2"/>
      <c r="O6" s="2"/>
    </row>
    <row r="7" spans="1:15" ht="51" customHeight="1" x14ac:dyDescent="0.3">
      <c r="B7" s="77"/>
      <c r="C7" s="78"/>
      <c r="D7" s="6" t="e">
        <f>VLOOKUP($H$3,campus!$A$2:$P$37,6)</f>
        <v>#N/A</v>
      </c>
      <c r="E7" s="6" t="e">
        <f>VLOOKUP($H$3,campus!$A$2:$P$37,7)</f>
        <v>#N/A</v>
      </c>
      <c r="F7" s="7" t="s">
        <v>198</v>
      </c>
      <c r="G7" s="7" t="s">
        <v>199</v>
      </c>
      <c r="H7" s="6" t="s">
        <v>210</v>
      </c>
      <c r="I7" s="83"/>
      <c r="L7" s="2"/>
      <c r="M7" s="2"/>
      <c r="N7" s="2"/>
      <c r="O7" s="2"/>
    </row>
    <row r="8" spans="1:15" ht="33.9" customHeight="1" x14ac:dyDescent="0.3">
      <c r="B8" s="9" t="e">
        <f>VLOOKUP(3*$H$3-2,urnas!$B$6:$D$114,2)</f>
        <v>#N/A</v>
      </c>
      <c r="C8" s="21" t="e">
        <f>VLOOKUP(3*$H$3-2,urnas!$B$6:$D$114,3)</f>
        <v>#N/A</v>
      </c>
      <c r="D8" s="17"/>
      <c r="E8" s="17"/>
      <c r="F8" s="17"/>
      <c r="G8" s="17"/>
      <c r="H8" s="8">
        <f>SUM(D8:G8)</f>
        <v>0</v>
      </c>
      <c r="I8" s="15" t="e">
        <f>VLOOKUP(B8,urnas!$C$6:$H$114,6)</f>
        <v>#N/A</v>
      </c>
      <c r="L8" s="2"/>
      <c r="M8" s="2"/>
      <c r="N8" s="2"/>
      <c r="O8" s="2"/>
    </row>
    <row r="9" spans="1:15" ht="33.9" customHeight="1" x14ac:dyDescent="0.3">
      <c r="B9" s="9" t="e">
        <f>VLOOKUP(3*$H$3-1,urnas!$B$6:$D$114,2)</f>
        <v>#N/A</v>
      </c>
      <c r="C9" s="21" t="e">
        <f>VLOOKUP(3*$H$3-1,urnas!$B$6:$D$114,3)</f>
        <v>#N/A</v>
      </c>
      <c r="D9" s="17"/>
      <c r="E9" s="17"/>
      <c r="F9" s="17"/>
      <c r="G9" s="17"/>
      <c r="H9" s="8">
        <f>SUM(D9:G9)</f>
        <v>0</v>
      </c>
      <c r="I9" s="15" t="e">
        <f>VLOOKUP(B9,urnas!$C$6:$H$114,6)</f>
        <v>#N/A</v>
      </c>
      <c r="L9" s="2"/>
      <c r="M9" s="2"/>
      <c r="N9" s="2"/>
      <c r="O9" s="2"/>
    </row>
    <row r="10" spans="1:15" ht="33.9" customHeight="1" thickBot="1" x14ac:dyDescent="0.35">
      <c r="B10" s="10" t="e">
        <f>VLOOKUP(3*$H$3,urnas!$B$6:$D$114,2)</f>
        <v>#N/A</v>
      </c>
      <c r="C10" s="22" t="e">
        <f>VLOOKUP(3*$H$3,urnas!$B$6:$D$114,3)</f>
        <v>#N/A</v>
      </c>
      <c r="D10" s="17"/>
      <c r="E10" s="17"/>
      <c r="F10" s="17"/>
      <c r="G10" s="17"/>
      <c r="H10" s="11">
        <f>SUM(D10:G10)</f>
        <v>0</v>
      </c>
      <c r="I10" s="16" t="e">
        <f>VLOOKUP(B10,urnas!$C$6:$H$114,6)</f>
        <v>#N/A</v>
      </c>
      <c r="L10" s="2"/>
      <c r="M10" s="2"/>
      <c r="N10" s="2"/>
      <c r="O10" s="2"/>
    </row>
    <row r="11" spans="1:15" ht="24.9" customHeight="1" thickBot="1" x14ac:dyDescent="0.35">
      <c r="C11" s="18" t="s">
        <v>221</v>
      </c>
      <c r="D11" s="19">
        <f>SUM(D8:D10)</f>
        <v>0</v>
      </c>
      <c r="E11" s="19">
        <f t="shared" ref="E11:H11" si="0">SUM(E8:E10)</f>
        <v>0</v>
      </c>
      <c r="F11" s="29">
        <f t="shared" si="0"/>
        <v>0</v>
      </c>
      <c r="G11" s="19">
        <f t="shared" si="0"/>
        <v>0</v>
      </c>
      <c r="H11" s="20">
        <f t="shared" si="0"/>
        <v>0</v>
      </c>
    </row>
    <row r="15" spans="1:15" ht="21" x14ac:dyDescent="0.3">
      <c r="C15" s="3" t="s">
        <v>200</v>
      </c>
      <c r="H15" s="3" t="s">
        <v>222</v>
      </c>
    </row>
    <row r="16" spans="1:15" ht="15" thickBot="1" x14ac:dyDescent="0.35"/>
    <row r="17" spans="2:12" ht="24.9" customHeight="1" x14ac:dyDescent="0.3">
      <c r="B17" s="12"/>
      <c r="C17" s="62" t="s">
        <v>207</v>
      </c>
      <c r="D17" s="79" t="s">
        <v>206</v>
      </c>
      <c r="E17" s="80"/>
      <c r="H17" s="62" t="s">
        <v>206</v>
      </c>
      <c r="I17" s="63"/>
      <c r="J17" s="63"/>
      <c r="K17" s="63"/>
      <c r="L17" s="26" t="s">
        <v>214</v>
      </c>
    </row>
    <row r="18" spans="2:12" ht="51" customHeight="1" x14ac:dyDescent="0.3">
      <c r="B18" s="12"/>
      <c r="C18" s="77"/>
      <c r="D18" s="6" t="e">
        <f>VLOOKUP($H$3,campus!$A$2:$P$37,6)</f>
        <v>#N/A</v>
      </c>
      <c r="E18" s="6" t="e">
        <f>VLOOKUP($H$3,campus!$A$2:$P$37,7)</f>
        <v>#N/A</v>
      </c>
      <c r="G18" s="30" t="s">
        <v>218</v>
      </c>
      <c r="H18" s="103"/>
      <c r="I18" s="104"/>
      <c r="J18" s="104"/>
      <c r="K18" s="104"/>
      <c r="L18" s="27" t="str">
        <f>IF(COUNTA(D8:G10)=12,L5,"")</f>
        <v/>
      </c>
    </row>
    <row r="19" spans="2:12" ht="24.9" customHeight="1" x14ac:dyDescent="0.3">
      <c r="B19" s="12"/>
      <c r="C19" s="9" t="s">
        <v>208</v>
      </c>
      <c r="D19" s="31">
        <f t="shared" ref="D19:E21" si="1">IF(ISBLANK(D8),0,100*(1/3*(D8/$I8)))</f>
        <v>0</v>
      </c>
      <c r="E19" s="31">
        <f t="shared" si="1"/>
        <v>0</v>
      </c>
      <c r="G19" s="102" t="s">
        <v>219</v>
      </c>
      <c r="H19" s="103"/>
      <c r="I19" s="104"/>
      <c r="J19" s="104"/>
      <c r="K19" s="104"/>
      <c r="L19" s="71" t="str">
        <f>IF(COUNTA(D8:G10)=12,M5,"")</f>
        <v/>
      </c>
    </row>
    <row r="20" spans="2:12" ht="24.9" customHeight="1" thickBot="1" x14ac:dyDescent="0.35">
      <c r="B20" s="12"/>
      <c r="C20" s="9" t="s">
        <v>209</v>
      </c>
      <c r="D20" s="31">
        <f t="shared" si="1"/>
        <v>0</v>
      </c>
      <c r="E20" s="31">
        <f t="shared" si="1"/>
        <v>0</v>
      </c>
      <c r="G20" s="102"/>
      <c r="H20" s="100"/>
      <c r="I20" s="101"/>
      <c r="J20" s="101"/>
      <c r="K20" s="101"/>
      <c r="L20" s="76"/>
    </row>
    <row r="21" spans="2:12" ht="24.9" customHeight="1" x14ac:dyDescent="0.3">
      <c r="B21" s="12"/>
      <c r="C21" s="9" t="s">
        <v>15</v>
      </c>
      <c r="D21" s="31">
        <f t="shared" si="1"/>
        <v>0</v>
      </c>
      <c r="E21" s="31">
        <f t="shared" si="1"/>
        <v>0</v>
      </c>
    </row>
    <row r="22" spans="2:12" ht="24" thickBot="1" x14ac:dyDescent="0.35">
      <c r="C22" s="23" t="s">
        <v>214</v>
      </c>
      <c r="D22" s="24">
        <f>SUM(D19:D21)</f>
        <v>0</v>
      </c>
      <c r="E22" s="24">
        <f>SUM(E19:E21)</f>
        <v>0</v>
      </c>
      <c r="G22" s="5" t="str">
        <f>IF(COUNTA(D8:G10)=12,"Eleição encerrada no primeiro turno.","")</f>
        <v/>
      </c>
    </row>
    <row r="23" spans="2:12" ht="23.4" x14ac:dyDescent="0.3">
      <c r="D23" s="2" t="e">
        <f>D18</f>
        <v>#N/A</v>
      </c>
      <c r="E23" s="2" t="e">
        <f>E18</f>
        <v>#N/A</v>
      </c>
      <c r="G23" s="5" t="str">
        <f>IF(COUNTA(D9:G11)=12,"Em caso de empate utilizar os critérios elencados no código eleitoral","")</f>
        <v/>
      </c>
    </row>
    <row r="28" spans="2:12" ht="24.9" customHeight="1" x14ac:dyDescent="0.3"/>
    <row r="29" spans="2:12" ht="33.9" customHeight="1" x14ac:dyDescent="0.3"/>
    <row r="30" spans="2:12" ht="33.9" customHeight="1" x14ac:dyDescent="0.3"/>
    <row r="31" spans="2:12" ht="33.9" customHeight="1" x14ac:dyDescent="0.3"/>
  </sheetData>
  <sheetProtection algorithmName="SHA-512" hashValue="TvLwjiqTTtpm9/DiIaVe7VyPlV7OVyYrPCXMGQ5J+ZgzOjP/0bCNU5szWWCcgVGZU7kpZgWCJXpBanu4IEroVQ==" saltValue="5qt8HC+Cjj0Hfj+M1pt7Kg==" spinCount="100000" sheet="1" objects="1" scenarios="1" selectLockedCells="1"/>
  <mergeCells count="11">
    <mergeCell ref="G19:G20"/>
    <mergeCell ref="H19:K20"/>
    <mergeCell ref="L19:L20"/>
    <mergeCell ref="B6:B7"/>
    <mergeCell ref="C6:C7"/>
    <mergeCell ref="D6:H6"/>
    <mergeCell ref="I6:I7"/>
    <mergeCell ref="C17:C18"/>
    <mergeCell ref="D17:E17"/>
    <mergeCell ref="H17:K17"/>
    <mergeCell ref="H18:K18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Planilha5"/>
  <dimension ref="A1:Q31"/>
  <sheetViews>
    <sheetView workbookViewId="0">
      <selection activeCell="D8" sqref="D8"/>
    </sheetView>
  </sheetViews>
  <sheetFormatPr defaultColWidth="9.109375" defaultRowHeight="14.4" x14ac:dyDescent="0.3"/>
  <cols>
    <col min="1" max="2" width="9.109375" style="1"/>
    <col min="3" max="3" width="40.33203125" style="1" customWidth="1"/>
    <col min="4" max="6" width="25.6640625" style="1" customWidth="1"/>
    <col min="7" max="9" width="10.6640625" style="1" customWidth="1"/>
    <col min="10" max="10" width="18.5546875" style="1" bestFit="1" customWidth="1"/>
    <col min="11" max="16384" width="9.109375" style="1"/>
  </cols>
  <sheetData>
    <row r="1" spans="1:17" x14ac:dyDescent="0.3">
      <c r="A1" s="2">
        <v>1</v>
      </c>
    </row>
    <row r="2" spans="1:17" ht="28.8" x14ac:dyDescent="0.3">
      <c r="B2" s="4" t="s">
        <v>196</v>
      </c>
    </row>
    <row r="3" spans="1:17" ht="23.4" x14ac:dyDescent="0.3">
      <c r="B3" s="5" t="e">
        <f>_xlfn.CONCAT("Diretor Geral - Câmpus ",VLOOKUP($H$3,campus!$A$2:$C$38,3))</f>
        <v>#N/A</v>
      </c>
    </row>
    <row r="5" spans="1:17" ht="15" thickBot="1" x14ac:dyDescent="0.35">
      <c r="M5" s="2">
        <f>LARGE(D22:F22,1)</f>
        <v>0</v>
      </c>
      <c r="N5" s="2">
        <f>LARGE(D22:F22,2)</f>
        <v>0</v>
      </c>
      <c r="O5" s="2">
        <f>LARGE(D22:F22,3)</f>
        <v>0</v>
      </c>
      <c r="P5" s="2"/>
      <c r="Q5" s="2"/>
    </row>
    <row r="6" spans="1:17" ht="24.9" customHeight="1" x14ac:dyDescent="0.3">
      <c r="B6" s="62" t="s">
        <v>9</v>
      </c>
      <c r="C6" s="63" t="s">
        <v>204</v>
      </c>
      <c r="D6" s="79" t="s">
        <v>197</v>
      </c>
      <c r="E6" s="80"/>
      <c r="F6" s="80"/>
      <c r="G6" s="80"/>
      <c r="H6" s="80"/>
      <c r="I6" s="81"/>
      <c r="J6" s="82" t="s">
        <v>205</v>
      </c>
      <c r="M6" s="2" t="s">
        <v>215</v>
      </c>
      <c r="N6" s="2" t="s">
        <v>216</v>
      </c>
      <c r="O6" s="2" t="s">
        <v>217</v>
      </c>
      <c r="P6" s="2"/>
      <c r="Q6" s="2"/>
    </row>
    <row r="7" spans="1:17" ht="51" customHeight="1" x14ac:dyDescent="0.3">
      <c r="B7" s="77"/>
      <c r="C7" s="78"/>
      <c r="D7" s="6" t="e">
        <f>VLOOKUP($H$3,campus!$A$2:$P$37,6)</f>
        <v>#N/A</v>
      </c>
      <c r="E7" s="6" t="e">
        <f>VLOOKUP($H$3,campus!$A$2:$P$37,7)</f>
        <v>#N/A</v>
      </c>
      <c r="F7" s="6" t="e">
        <f>VLOOKUP($H$3,campus!$A$2:$P$37,8)</f>
        <v>#N/A</v>
      </c>
      <c r="G7" s="7" t="s">
        <v>198</v>
      </c>
      <c r="H7" s="7" t="s">
        <v>199</v>
      </c>
      <c r="I7" s="6" t="s">
        <v>210</v>
      </c>
      <c r="J7" s="83"/>
      <c r="M7" s="2"/>
      <c r="N7" s="2"/>
      <c r="O7" s="2"/>
      <c r="P7" s="2"/>
      <c r="Q7" s="2"/>
    </row>
    <row r="8" spans="1:17" ht="33.9" customHeight="1" x14ac:dyDescent="0.3">
      <c r="B8" s="9" t="e">
        <f>VLOOKUP(3*$H$3-2,urnas!$B$6:$D$114,2)</f>
        <v>#N/A</v>
      </c>
      <c r="C8" s="21" t="e">
        <f>VLOOKUP(3*$H$3-2,urnas!$B$6:$D$114,3)</f>
        <v>#N/A</v>
      </c>
      <c r="D8" s="17"/>
      <c r="E8" s="17"/>
      <c r="F8" s="17"/>
      <c r="G8" s="17"/>
      <c r="H8" s="17"/>
      <c r="I8" s="8">
        <f t="shared" ref="I8:I10" si="0">SUM(D8:H8)</f>
        <v>0</v>
      </c>
      <c r="J8" s="15" t="e">
        <f>VLOOKUP(B8,urnas!$C$6:$H$114,6)</f>
        <v>#N/A</v>
      </c>
      <c r="M8" s="2"/>
      <c r="N8" s="2"/>
      <c r="O8" s="2"/>
      <c r="P8" s="2"/>
      <c r="Q8" s="2"/>
    </row>
    <row r="9" spans="1:17" ht="33.9" customHeight="1" x14ac:dyDescent="0.3">
      <c r="B9" s="9" t="e">
        <f>VLOOKUP(3*$H$3-1,urnas!$B$6:$D$114,2)</f>
        <v>#N/A</v>
      </c>
      <c r="C9" s="21" t="e">
        <f>VLOOKUP(3*$H$3-1,urnas!$B$6:$D$114,3)</f>
        <v>#N/A</v>
      </c>
      <c r="D9" s="17"/>
      <c r="E9" s="17"/>
      <c r="F9" s="17"/>
      <c r="G9" s="17"/>
      <c r="H9" s="17"/>
      <c r="I9" s="8">
        <f t="shared" si="0"/>
        <v>0</v>
      </c>
      <c r="J9" s="15" t="e">
        <f>VLOOKUP(B9,urnas!$C$6:$H$114,6)</f>
        <v>#N/A</v>
      </c>
      <c r="M9" s="2"/>
      <c r="N9" s="2"/>
      <c r="O9" s="2"/>
      <c r="P9" s="2"/>
      <c r="Q9" s="2"/>
    </row>
    <row r="10" spans="1:17" ht="33.9" customHeight="1" thickBot="1" x14ac:dyDescent="0.35">
      <c r="B10" s="10" t="e">
        <f>VLOOKUP(3*$H$3,urnas!$B$6:$D$114,2)</f>
        <v>#N/A</v>
      </c>
      <c r="C10" s="22" t="e">
        <f>VLOOKUP(3*$H$3,urnas!$B$6:$D$114,3)</f>
        <v>#N/A</v>
      </c>
      <c r="D10" s="17"/>
      <c r="E10" s="17"/>
      <c r="F10" s="17"/>
      <c r="G10" s="17"/>
      <c r="H10" s="17"/>
      <c r="I10" s="11">
        <f t="shared" si="0"/>
        <v>0</v>
      </c>
      <c r="J10" s="16" t="e">
        <f>VLOOKUP(B10,urnas!$C$6:$H$114,6)</f>
        <v>#N/A</v>
      </c>
      <c r="M10" s="2"/>
      <c r="N10" s="2"/>
      <c r="O10" s="2"/>
      <c r="P10" s="2"/>
      <c r="Q10" s="2"/>
    </row>
    <row r="11" spans="1:17" ht="24.9" customHeight="1" thickBot="1" x14ac:dyDescent="0.35">
      <c r="C11" s="18" t="s">
        <v>221</v>
      </c>
      <c r="D11" s="19">
        <f>SUM(D8:D10)</f>
        <v>0</v>
      </c>
      <c r="E11" s="19">
        <f t="shared" ref="E11:I11" si="1">SUM(E8:E10)</f>
        <v>0</v>
      </c>
      <c r="F11" s="19">
        <f t="shared" si="1"/>
        <v>0</v>
      </c>
      <c r="G11" s="29">
        <f t="shared" si="1"/>
        <v>0</v>
      </c>
      <c r="H11" s="19">
        <f t="shared" si="1"/>
        <v>0</v>
      </c>
      <c r="I11" s="20">
        <f t="shared" si="1"/>
        <v>0</v>
      </c>
    </row>
    <row r="15" spans="1:17" ht="21" x14ac:dyDescent="0.3">
      <c r="C15" s="3" t="s">
        <v>200</v>
      </c>
      <c r="I15" s="3" t="s">
        <v>222</v>
      </c>
    </row>
    <row r="16" spans="1:17" ht="15" thickBot="1" x14ac:dyDescent="0.35"/>
    <row r="17" spans="2:13" ht="24.9" customHeight="1" x14ac:dyDescent="0.3">
      <c r="B17" s="12"/>
      <c r="C17" s="62" t="s">
        <v>207</v>
      </c>
      <c r="D17" s="79" t="s">
        <v>206</v>
      </c>
      <c r="E17" s="80"/>
      <c r="F17" s="105"/>
      <c r="I17" s="62" t="s">
        <v>206</v>
      </c>
      <c r="J17" s="63"/>
      <c r="K17" s="63"/>
      <c r="L17" s="63"/>
      <c r="M17" s="26" t="s">
        <v>214</v>
      </c>
    </row>
    <row r="18" spans="2:13" ht="51" customHeight="1" x14ac:dyDescent="0.3">
      <c r="B18" s="12"/>
      <c r="C18" s="77"/>
      <c r="D18" s="6" t="e">
        <f>VLOOKUP($H$3,campus!$A$2:$P$37,6)</f>
        <v>#N/A</v>
      </c>
      <c r="E18" s="6" t="e">
        <f>VLOOKUP($H$3,campus!$A$2:$P$37,7)</f>
        <v>#N/A</v>
      </c>
      <c r="F18" s="13" t="e">
        <f>VLOOKUP($H$3,campus!$A$2:$P$37,8)</f>
        <v>#N/A</v>
      </c>
      <c r="H18" s="30" t="s">
        <v>218</v>
      </c>
      <c r="I18" s="103"/>
      <c r="J18" s="104"/>
      <c r="K18" s="104"/>
      <c r="L18" s="104"/>
      <c r="M18" s="27" t="str">
        <f>IF(COUNTA(D8:H10)=15,M5,"")</f>
        <v/>
      </c>
    </row>
    <row r="19" spans="2:13" ht="24.9" customHeight="1" x14ac:dyDescent="0.3">
      <c r="B19" s="12"/>
      <c r="C19" s="9" t="s">
        <v>208</v>
      </c>
      <c r="D19" s="31">
        <f>IF(ISBLANK(D8),0,100*(1/3*(D8/$J8)))</f>
        <v>0</v>
      </c>
      <c r="E19" s="31">
        <f t="shared" ref="E19:F19" si="2">IF(ISBLANK(E8),0,100*(1/3*(E8/$J8)))</f>
        <v>0</v>
      </c>
      <c r="F19" s="27">
        <f t="shared" si="2"/>
        <v>0</v>
      </c>
      <c r="H19" s="102" t="s">
        <v>219</v>
      </c>
      <c r="I19" s="103"/>
      <c r="J19" s="104"/>
      <c r="K19" s="104"/>
      <c r="L19" s="104"/>
      <c r="M19" s="71" t="str">
        <f>IF(COUNTA(D8:H10)=15,N5,"")</f>
        <v/>
      </c>
    </row>
    <row r="20" spans="2:13" ht="24.9" customHeight="1" x14ac:dyDescent="0.3">
      <c r="B20" s="12"/>
      <c r="C20" s="9" t="s">
        <v>209</v>
      </c>
      <c r="D20" s="31">
        <f t="shared" ref="D20:F21" si="3">IF(ISBLANK(D9),0,100*(1/3*(D9/$J9)))</f>
        <v>0</v>
      </c>
      <c r="E20" s="31">
        <f t="shared" si="3"/>
        <v>0</v>
      </c>
      <c r="F20" s="27">
        <f t="shared" si="3"/>
        <v>0</v>
      </c>
      <c r="H20" s="102"/>
      <c r="I20" s="103"/>
      <c r="J20" s="104"/>
      <c r="K20" s="104"/>
      <c r="L20" s="104"/>
      <c r="M20" s="71"/>
    </row>
    <row r="21" spans="2:13" ht="24.9" customHeight="1" x14ac:dyDescent="0.3">
      <c r="B21" s="12"/>
      <c r="C21" s="9" t="s">
        <v>15</v>
      </c>
      <c r="D21" s="31">
        <f t="shared" si="3"/>
        <v>0</v>
      </c>
      <c r="E21" s="31">
        <f t="shared" si="3"/>
        <v>0</v>
      </c>
      <c r="F21" s="27">
        <f t="shared" si="3"/>
        <v>0</v>
      </c>
      <c r="H21" s="102" t="s">
        <v>220</v>
      </c>
      <c r="I21" s="103"/>
      <c r="J21" s="104"/>
      <c r="K21" s="104"/>
      <c r="L21" s="104"/>
      <c r="M21" s="71" t="str">
        <f>IF(COUNTA(D8:H10)=15,O5,"")</f>
        <v/>
      </c>
    </row>
    <row r="22" spans="2:13" ht="16.2" thickBot="1" x14ac:dyDescent="0.35">
      <c r="C22" s="23" t="s">
        <v>214</v>
      </c>
      <c r="D22" s="24">
        <f>SUM(D19:D21)</f>
        <v>0</v>
      </c>
      <c r="E22" s="24">
        <f>SUM(E19:E21)</f>
        <v>0</v>
      </c>
      <c r="F22" s="25">
        <f>SUM(F19:F21)</f>
        <v>0</v>
      </c>
      <c r="H22" s="102"/>
      <c r="I22" s="100"/>
      <c r="J22" s="101"/>
      <c r="K22" s="101"/>
      <c r="L22" s="101"/>
      <c r="M22" s="76"/>
    </row>
    <row r="23" spans="2:13" x14ac:dyDescent="0.3">
      <c r="D23" s="2" t="e">
        <f>D18</f>
        <v>#N/A</v>
      </c>
      <c r="E23" s="2" t="e">
        <f>E18</f>
        <v>#N/A</v>
      </c>
      <c r="F23" s="2" t="e">
        <f>F18</f>
        <v>#N/A</v>
      </c>
    </row>
    <row r="24" spans="2:13" ht="23.4" x14ac:dyDescent="0.3">
      <c r="H24" s="5" t="str">
        <f>IF(COUNTA(D8:H10)=15,IF(M18&gt;(M19+M21), "Eleição encerrada no primeiro turno.", "Haverá segundo turno entre os dois primeiro colocados"),"")</f>
        <v/>
      </c>
    </row>
    <row r="25" spans="2:13" ht="23.4" x14ac:dyDescent="0.3">
      <c r="H25" s="5" t="str">
        <f>IF(COUNTA(D9:H11)=15,"Em caso de empate utilizar os critérios elencados no código eleitoral","")</f>
        <v/>
      </c>
    </row>
    <row r="28" spans="2:13" ht="24.9" customHeight="1" x14ac:dyDescent="0.3"/>
    <row r="29" spans="2:13" ht="33.9" customHeight="1" x14ac:dyDescent="0.3"/>
    <row r="30" spans="2:13" ht="33.9" customHeight="1" x14ac:dyDescent="0.3"/>
    <row r="31" spans="2:13" ht="33.9" customHeight="1" x14ac:dyDescent="0.3"/>
  </sheetData>
  <sheetProtection selectLockedCells="1"/>
  <mergeCells count="14">
    <mergeCell ref="H19:H20"/>
    <mergeCell ref="I19:L20"/>
    <mergeCell ref="M19:M20"/>
    <mergeCell ref="H21:H22"/>
    <mergeCell ref="I21:L22"/>
    <mergeCell ref="M21:M22"/>
    <mergeCell ref="B6:B7"/>
    <mergeCell ref="C6:C7"/>
    <mergeCell ref="C17:C18"/>
    <mergeCell ref="D17:F17"/>
    <mergeCell ref="I18:L18"/>
    <mergeCell ref="D6:I6"/>
    <mergeCell ref="J6:J7"/>
    <mergeCell ref="I17:L17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D3EB6-731F-4CAC-9AE4-EDAC9E850254}">
  <sheetPr codeName="Planilha47"/>
  <dimension ref="A1:AB31"/>
  <sheetViews>
    <sheetView workbookViewId="0">
      <selection activeCell="F3" sqref="F3"/>
    </sheetView>
  </sheetViews>
  <sheetFormatPr defaultColWidth="9.109375" defaultRowHeight="14.4" x14ac:dyDescent="0.3"/>
  <cols>
    <col min="1" max="2" width="9.109375" style="1"/>
    <col min="3" max="3" width="15.44140625" style="1" customWidth="1"/>
    <col min="4" max="7" width="25.6640625" style="1" customWidth="1"/>
    <col min="8" max="9" width="10.6640625" style="1" customWidth="1"/>
    <col min="10" max="10" width="18.5546875" style="1" bestFit="1" customWidth="1"/>
    <col min="11" max="16384" width="9.109375" style="1"/>
  </cols>
  <sheetData>
    <row r="1" spans="1:28" x14ac:dyDescent="0.3">
      <c r="A1" s="2">
        <v>1</v>
      </c>
    </row>
    <row r="2" spans="1:28" ht="28.8" x14ac:dyDescent="0.3">
      <c r="B2" s="4" t="s">
        <v>344</v>
      </c>
    </row>
    <row r="3" spans="1:28" ht="23.4" x14ac:dyDescent="0.3">
      <c r="B3" s="5" t="str">
        <f>_xlfn.CONCAT("Diretor-Geral de Campus: ",VLOOKUP($H$3,campus!$A$2:$C$50,3))</f>
        <v>Diretor-Geral de Campus: Campos do Jordão</v>
      </c>
      <c r="H3" s="1">
        <v>8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3"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" thickBot="1" x14ac:dyDescent="0.35">
      <c r="L5" s="2"/>
      <c r="M5" s="2">
        <f>LARGE(D22:G22,1)</f>
        <v>0</v>
      </c>
      <c r="N5" s="2">
        <f>LARGE(D22:G22,2)</f>
        <v>0</v>
      </c>
      <c r="O5" s="2">
        <f>LARGE(D22:G22,3)</f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24.9" customHeight="1" x14ac:dyDescent="0.3">
      <c r="B6" s="62" t="s">
        <v>9</v>
      </c>
      <c r="C6" s="63" t="s">
        <v>207</v>
      </c>
      <c r="D6" s="79" t="s">
        <v>197</v>
      </c>
      <c r="E6" s="80"/>
      <c r="F6" s="80"/>
      <c r="G6" s="80"/>
      <c r="H6" s="80"/>
      <c r="I6" s="81"/>
      <c r="J6" s="82" t="s">
        <v>205</v>
      </c>
      <c r="L6" s="2"/>
      <c r="M6" s="2" t="s">
        <v>215</v>
      </c>
      <c r="N6" s="2" t="s">
        <v>216</v>
      </c>
      <c r="O6" s="2" t="s">
        <v>217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51" customHeight="1" x14ac:dyDescent="0.3">
      <c r="B7" s="77"/>
      <c r="C7" s="78"/>
      <c r="D7" s="6" t="str">
        <f>VLOOKUP($H$3,campus!$A$2:$P$50,6)</f>
        <v>(Professor Bianchi) Bianchi Agostini Gobbo</v>
      </c>
      <c r="E7" s="6" t="str">
        <f>VLOOKUP($H$3,campus!$A$2:$P$50,7)</f>
        <v>(Bruna C. Mendes) Bruna de Castro Mendes</v>
      </c>
      <c r="F7" s="6" t="str">
        <f>VLOOKUP($H$3,campus!$A$2:$P$50,8)</f>
        <v>(Gustavo ORAN) Luiz Gustavo Paulo Oran Barros</v>
      </c>
      <c r="G7" s="6" t="str">
        <f>VLOOKUP($H$3,campus!$A$2:$P$50,9)</f>
        <v>(Madalena) Maria Madalena de Souza Santos</v>
      </c>
      <c r="H7" s="7" t="str">
        <f>VLOOKUP($H$3,campus!$A$2:$P$50,10)</f>
        <v>Branco</v>
      </c>
      <c r="I7" s="6" t="s">
        <v>210</v>
      </c>
      <c r="J7" s="83"/>
      <c r="L7" s="2"/>
      <c r="M7" s="2"/>
      <c r="N7" s="2"/>
      <c r="O7" s="2"/>
      <c r="P7" s="2"/>
      <c r="Q7" s="44">
        <f>IF(OR(D7="Branco",D7=0),"",D22)</f>
        <v>0</v>
      </c>
      <c r="R7" s="2" t="str">
        <f>IF(OR(D7="Branco",D7=0),"",D7)</f>
        <v>(Professor Bianchi) Bianchi Agostini Gobbo</v>
      </c>
      <c r="S7" s="2"/>
      <c r="T7" s="2" cm="1">
        <f t="array" ref="T7:U10">_xlfn.SORTBY(Q7:R10,Q7:Q10,1)</f>
        <v>0</v>
      </c>
      <c r="U7" s="2" t="str">
        <v>(Professor Bianchi) Bianchi Agostini Gobbo</v>
      </c>
      <c r="V7" s="2"/>
      <c r="W7" s="2"/>
      <c r="X7" s="2"/>
      <c r="Y7" s="2"/>
      <c r="Z7" s="2"/>
      <c r="AA7" s="2"/>
      <c r="AB7" s="2"/>
    </row>
    <row r="8" spans="1:28" ht="23.25" customHeight="1" x14ac:dyDescent="0.3">
      <c r="B8" s="9" t="str">
        <f>VLOOKUP(3*$H$3-2,urnas!$B$6:$D$150,2)</f>
        <v>Urna 022</v>
      </c>
      <c r="C8" s="21" t="str">
        <f>VLOOKUP(3*$H$3-2,urnas!$B$6:$D$150,3)</f>
        <v>Discentes</v>
      </c>
      <c r="D8" s="17"/>
      <c r="E8" s="17"/>
      <c r="F8" s="17"/>
      <c r="G8" s="17"/>
      <c r="H8" s="17"/>
      <c r="I8" s="8">
        <f t="shared" ref="I8:I10" si="0">SUM(D8:H8)</f>
        <v>0</v>
      </c>
      <c r="J8" s="15">
        <f>VLOOKUP(B8,urnas!$C$6:$H$150,6)</f>
        <v>650</v>
      </c>
      <c r="L8" s="2"/>
      <c r="M8" s="2"/>
      <c r="N8" s="2"/>
      <c r="O8" s="2"/>
      <c r="P8" s="2"/>
      <c r="Q8" s="44">
        <f>IF(OR(E7="Branco",E7=0),"",E22)</f>
        <v>0</v>
      </c>
      <c r="R8" s="2" t="str">
        <f>IF(OR(E7="Branco",E7=0),"",E7)</f>
        <v>(Bruna C. Mendes) Bruna de Castro Mendes</v>
      </c>
      <c r="S8" s="2"/>
      <c r="T8" s="2">
        <v>0</v>
      </c>
      <c r="U8" s="2" t="str">
        <v>(Bruna C. Mendes) Bruna de Castro Mendes</v>
      </c>
      <c r="V8" s="2"/>
      <c r="W8" s="2"/>
      <c r="X8" s="2"/>
      <c r="Y8" s="2"/>
      <c r="Z8" s="2"/>
      <c r="AA8" s="2"/>
      <c r="AB8" s="2"/>
    </row>
    <row r="9" spans="1:28" ht="21.75" customHeight="1" x14ac:dyDescent="0.3">
      <c r="B9" s="9" t="str">
        <f>VLOOKUP(3*$H$3-1,urnas!$B$6:$D$150,2)</f>
        <v>Urna 023</v>
      </c>
      <c r="C9" s="21" t="str">
        <f>VLOOKUP(3*$H$3-1,urnas!$B$6:$D$150,3)</f>
        <v>Docentes</v>
      </c>
      <c r="D9" s="17"/>
      <c r="E9" s="17"/>
      <c r="F9" s="17"/>
      <c r="G9" s="17"/>
      <c r="H9" s="17"/>
      <c r="I9" s="8">
        <f t="shared" si="0"/>
        <v>0</v>
      </c>
      <c r="J9" s="15">
        <f>VLOOKUP(B9,urnas!$C$6:$H$150,6)</f>
        <v>56</v>
      </c>
      <c r="L9" s="2"/>
      <c r="M9" s="2"/>
      <c r="N9" s="2"/>
      <c r="O9" s="2"/>
      <c r="P9" s="2"/>
      <c r="Q9" s="44">
        <f>IF(OR(F7="Branco",F7=0),"",F22)</f>
        <v>0</v>
      </c>
      <c r="R9" s="2" t="str">
        <f>IF(OR(F7="Branco",F7=0),"",F7)</f>
        <v>(Gustavo ORAN) Luiz Gustavo Paulo Oran Barros</v>
      </c>
      <c r="S9" s="2"/>
      <c r="T9" s="2">
        <v>0</v>
      </c>
      <c r="U9" s="2" t="str">
        <v>(Gustavo ORAN) Luiz Gustavo Paulo Oran Barros</v>
      </c>
      <c r="V9" s="2"/>
      <c r="W9" s="2"/>
      <c r="X9" s="2"/>
      <c r="Y9" s="2"/>
      <c r="Z9" s="2"/>
      <c r="AA9" s="2"/>
      <c r="AB9" s="2"/>
    </row>
    <row r="10" spans="1:28" ht="21" customHeight="1" thickBot="1" x14ac:dyDescent="0.35">
      <c r="B10" s="10" t="str">
        <f>VLOOKUP(3*$H$3,urnas!$B$6:$D$150,2)</f>
        <v>Urna 024</v>
      </c>
      <c r="C10" s="22" t="str">
        <f>VLOOKUP(3*$H$3,urnas!$B$6:$D$150,3)</f>
        <v>TAEs</v>
      </c>
      <c r="D10" s="17"/>
      <c r="E10" s="17"/>
      <c r="F10" s="17"/>
      <c r="G10" s="17"/>
      <c r="H10" s="17"/>
      <c r="I10" s="11">
        <f t="shared" si="0"/>
        <v>0</v>
      </c>
      <c r="J10" s="16">
        <f>VLOOKUP(B10,urnas!$C$6:$H$150,6)</f>
        <v>43</v>
      </c>
      <c r="L10" s="2"/>
      <c r="M10" s="2"/>
      <c r="N10" s="2"/>
      <c r="O10" s="2"/>
      <c r="P10" s="2"/>
      <c r="Q10" s="44">
        <f>IF(OR(G7="Branco",G7=0),"",G22)</f>
        <v>0</v>
      </c>
      <c r="R10" s="2" t="str">
        <f>IF(OR(G7="Branco",G7=0),"",G7)</f>
        <v>(Madalena) Maria Madalena de Souza Santos</v>
      </c>
      <c r="S10" s="2"/>
      <c r="T10" s="2">
        <v>0</v>
      </c>
      <c r="U10" s="2" t="str">
        <v>(Madalena) Maria Madalena de Souza Santos</v>
      </c>
      <c r="V10" s="2"/>
      <c r="W10" s="2"/>
      <c r="X10" s="2"/>
      <c r="Y10" s="2"/>
      <c r="Z10" s="2"/>
      <c r="AA10" s="2"/>
      <c r="AB10" s="2"/>
    </row>
    <row r="11" spans="1:28" ht="20.25" customHeight="1" thickBot="1" x14ac:dyDescent="0.35">
      <c r="C11" s="18" t="s">
        <v>221</v>
      </c>
      <c r="D11" s="45">
        <f>SUM(D8:D10)</f>
        <v>0</v>
      </c>
      <c r="E11" s="45">
        <f t="shared" ref="E11:I11" si="1">SUM(E8:E10)</f>
        <v>0</v>
      </c>
      <c r="F11" s="45">
        <f t="shared" si="1"/>
        <v>0</v>
      </c>
      <c r="G11" s="46">
        <f t="shared" si="1"/>
        <v>0</v>
      </c>
      <c r="H11" s="45">
        <f t="shared" si="1"/>
        <v>0</v>
      </c>
      <c r="I11" s="47">
        <f t="shared" si="1"/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3"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6" customHeight="1" x14ac:dyDescent="0.3"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6.75" customHeight="1" x14ac:dyDescent="0.3"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8" ht="21" x14ac:dyDescent="0.3">
      <c r="C15" s="3" t="s">
        <v>200</v>
      </c>
      <c r="J15" s="3" t="s">
        <v>341</v>
      </c>
      <c r="Y15" s="2"/>
      <c r="Z15" s="2"/>
    </row>
    <row r="16" spans="1:28" ht="15" thickBot="1" x14ac:dyDescent="0.35">
      <c r="Y16" s="2"/>
      <c r="Z16" s="2"/>
    </row>
    <row r="17" spans="2:14" ht="24.9" customHeight="1" thickBot="1" x14ac:dyDescent="0.35">
      <c r="B17" s="12"/>
      <c r="C17" s="62" t="s">
        <v>207</v>
      </c>
      <c r="D17" s="63" t="s">
        <v>206</v>
      </c>
      <c r="E17" s="63"/>
      <c r="F17" s="63"/>
      <c r="G17" s="84"/>
      <c r="J17" s="62" t="s">
        <v>206</v>
      </c>
      <c r="K17" s="63"/>
      <c r="L17" s="63"/>
      <c r="M17" s="63"/>
      <c r="N17" s="26" t="s">
        <v>214</v>
      </c>
    </row>
    <row r="18" spans="2:14" ht="51" customHeight="1" x14ac:dyDescent="0.3">
      <c r="B18" s="12"/>
      <c r="C18" s="77"/>
      <c r="D18" s="6" t="str">
        <f>IF(D7="Branco",0,D7)</f>
        <v>(Professor Bianchi) Bianchi Agostini Gobbo</v>
      </c>
      <c r="E18" s="6" t="str">
        <f t="shared" ref="E18:G18" si="2">IF(E7="Branco",0,E7)</f>
        <v>(Bruna C. Mendes) Bruna de Castro Mendes</v>
      </c>
      <c r="F18" s="6" t="str">
        <f t="shared" si="2"/>
        <v>(Gustavo ORAN) Luiz Gustavo Paulo Oran Barros</v>
      </c>
      <c r="G18" s="13" t="str">
        <f t="shared" si="2"/>
        <v>(Madalena) Maria Madalena de Souza Santos</v>
      </c>
      <c r="I18" s="48" t="s">
        <v>218</v>
      </c>
      <c r="J18" s="85" t="e">
        <f>VLOOKUP(N18,_xlfn.ANCHORARRAY(T7),2)</f>
        <v>#N/A</v>
      </c>
      <c r="K18" s="86"/>
      <c r="L18" s="86"/>
      <c r="M18" s="86"/>
      <c r="N18" s="27" t="str">
        <f>IF(COUNTA(D8:H10)=(VLOOKUP($H$3,campus!$A$2:$F$50,5)+1)*3,M5,"")</f>
        <v/>
      </c>
    </row>
    <row r="19" spans="2:14" x14ac:dyDescent="0.3">
      <c r="B19" s="12"/>
      <c r="C19" s="9" t="str">
        <f>C8</f>
        <v>Discentes</v>
      </c>
      <c r="D19" s="31">
        <f>IF(OR(ISBLANK(D8),D$18=0),0,100*(1/3*(D8/$J8)))</f>
        <v>0</v>
      </c>
      <c r="E19" s="31">
        <f>IF(OR(ISBLANK(E8),E$18=0),0,100*(1/3*(E8/$J8)))</f>
        <v>0</v>
      </c>
      <c r="F19" s="31">
        <f t="shared" ref="F19:G19" si="3">IF(OR(ISBLANK(F8),F$18=0),0,100*(1/3*(F8/$J8)))</f>
        <v>0</v>
      </c>
      <c r="G19" s="27">
        <f t="shared" si="3"/>
        <v>0</v>
      </c>
      <c r="I19" s="64" t="s">
        <v>219</v>
      </c>
      <c r="J19" s="65" t="e">
        <f>VLOOKUP(N19,_xlfn.ANCHORARRAY(T7),2)</f>
        <v>#N/A</v>
      </c>
      <c r="K19" s="66"/>
      <c r="L19" s="66"/>
      <c r="M19" s="67"/>
      <c r="N19" s="71" t="str">
        <f>IF(COUNTA(D8:H10)=(VLOOKUP($H$3,campus!$A$2:$F$50,5)+1)*3,N5,"")</f>
        <v/>
      </c>
    </row>
    <row r="20" spans="2:14" ht="18" customHeight="1" x14ac:dyDescent="0.3">
      <c r="B20" s="12"/>
      <c r="C20" s="9" t="str">
        <f>C9</f>
        <v>Docentes</v>
      </c>
      <c r="D20" s="31">
        <f t="shared" ref="D20:D21" si="4">IF(OR(ISBLANK(D9),D$18=0),0,100*(1/3*(D9/$J9)))</f>
        <v>0</v>
      </c>
      <c r="E20" s="31">
        <f t="shared" ref="E20:G21" si="5">IF(OR(ISBLANK(E9),E$18=0),0,100*(1/3*(E9/$J9)))</f>
        <v>0</v>
      </c>
      <c r="F20" s="31">
        <f t="shared" si="5"/>
        <v>0</v>
      </c>
      <c r="G20" s="27">
        <f t="shared" si="5"/>
        <v>0</v>
      </c>
      <c r="I20" s="64"/>
      <c r="J20" s="68"/>
      <c r="K20" s="69"/>
      <c r="L20" s="69"/>
      <c r="M20" s="70"/>
      <c r="N20" s="71"/>
    </row>
    <row r="21" spans="2:14" ht="19.5" customHeight="1" x14ac:dyDescent="0.3">
      <c r="B21" s="12"/>
      <c r="C21" s="9" t="str">
        <f>C10</f>
        <v>TAEs</v>
      </c>
      <c r="D21" s="31">
        <f t="shared" si="4"/>
        <v>0</v>
      </c>
      <c r="E21" s="31">
        <f t="shared" si="5"/>
        <v>0</v>
      </c>
      <c r="F21" s="31">
        <f t="shared" si="5"/>
        <v>0</v>
      </c>
      <c r="G21" s="27">
        <f t="shared" si="5"/>
        <v>0</v>
      </c>
      <c r="I21" s="64" t="s">
        <v>220</v>
      </c>
      <c r="J21" s="65" t="e">
        <f>VLOOKUP(N21,_xlfn.ANCHORARRAY(T7),2)</f>
        <v>#N/A</v>
      </c>
      <c r="K21" s="66"/>
      <c r="L21" s="66"/>
      <c r="M21" s="67"/>
      <c r="N21" s="71" t="str">
        <f>IF(COUNTA(D8:H10)=(VLOOKUP($H$3,campus!$A$2:$F$50,5)+1)*3,O5,"")</f>
        <v/>
      </c>
    </row>
    <row r="22" spans="2:14" ht="16.5" customHeight="1" thickBot="1" x14ac:dyDescent="0.35">
      <c r="C22" s="23" t="s">
        <v>214</v>
      </c>
      <c r="D22" s="24">
        <f>SUM(D19:D21)</f>
        <v>0</v>
      </c>
      <c r="E22" s="24">
        <f>SUM(E19:E21)</f>
        <v>0</v>
      </c>
      <c r="F22" s="25">
        <f>SUM(F19:F21)</f>
        <v>0</v>
      </c>
      <c r="G22" s="25">
        <f>SUM(G19:G21)</f>
        <v>0</v>
      </c>
      <c r="I22" s="72"/>
      <c r="J22" s="73"/>
      <c r="K22" s="74"/>
      <c r="L22" s="74"/>
      <c r="M22" s="75"/>
      <c r="N22" s="76"/>
    </row>
    <row r="23" spans="2:14" x14ac:dyDescent="0.3">
      <c r="D23" s="2" t="str">
        <f>D18</f>
        <v>(Professor Bianchi) Bianchi Agostini Gobbo</v>
      </c>
      <c r="E23" s="2" t="str">
        <f>E18</f>
        <v>(Bruna C. Mendes) Bruna de Castro Mendes</v>
      </c>
      <c r="F23" s="2" t="str">
        <f>F18</f>
        <v>(Gustavo ORAN) Luiz Gustavo Paulo Oran Barros</v>
      </c>
    </row>
    <row r="24" spans="2:14" ht="23.4" x14ac:dyDescent="0.3">
      <c r="I24" s="5" t="str">
        <f>IF(COUNTA(D8:H10)=(VLOOKUP($H$3,campus!$A$2:$F$50,5)+1)*3,IF(ISTEXT(J19),IF(J18=J19,"Verificar critérios de desempate",""),""),"")</f>
        <v/>
      </c>
    </row>
    <row r="25" spans="2:14" ht="23.4" x14ac:dyDescent="0.3">
      <c r="I25" s="5" t="str">
        <f>IF(COUNTA(D8:H10)=(VLOOKUP($H$3,campus!$A$2:$F$50,5)+1)*3, IF(VLOOKUP($H$3,campus!$A$2:$F$50,5)&gt;2,IF(N18&gt;(N19+N21), "Eleição encerrada no primeiro turno.", "Haverá segundo turno entre os dois primeiro colocados"),"Eleição encerrada no primeiro turno."   ),"")</f>
        <v/>
      </c>
    </row>
    <row r="28" spans="2:14" ht="24.9" customHeight="1" x14ac:dyDescent="0.3"/>
    <row r="29" spans="2:14" ht="33.9" customHeight="1" x14ac:dyDescent="0.3"/>
    <row r="30" spans="2:14" ht="33.9" customHeight="1" x14ac:dyDescent="0.3"/>
    <row r="31" spans="2:14" ht="33.9" customHeight="1" x14ac:dyDescent="0.3"/>
  </sheetData>
  <sheetProtection selectLockedCells="1"/>
  <mergeCells count="14">
    <mergeCell ref="I19:I20"/>
    <mergeCell ref="J19:M20"/>
    <mergeCell ref="N19:N20"/>
    <mergeCell ref="I21:I22"/>
    <mergeCell ref="J21:M22"/>
    <mergeCell ref="N21:N22"/>
    <mergeCell ref="B6:B7"/>
    <mergeCell ref="C6:C7"/>
    <mergeCell ref="D6:I6"/>
    <mergeCell ref="J6:J7"/>
    <mergeCell ref="C17:C18"/>
    <mergeCell ref="J17:M17"/>
    <mergeCell ref="J18:M18"/>
    <mergeCell ref="D17:G17"/>
  </mergeCells>
  <conditionalFormatting sqref="E7:E11">
    <cfRule type="expression" dxfId="23" priority="8">
      <formula>IF($E$7=0,1,0)</formula>
    </cfRule>
  </conditionalFormatting>
  <conditionalFormatting sqref="E18:E22 F19:G21">
    <cfRule type="expression" dxfId="22" priority="7">
      <formula>IF($E$18=0,1,0)</formula>
    </cfRule>
  </conditionalFormatting>
  <conditionalFormatting sqref="F7 F11">
    <cfRule type="expression" dxfId="21" priority="9">
      <formula>IF($F$7=0,1,0)</formula>
    </cfRule>
  </conditionalFormatting>
  <conditionalFormatting sqref="F8:F10">
    <cfRule type="expression" dxfId="20" priority="4">
      <formula>IF($F$7=0,1,0)</formula>
    </cfRule>
  </conditionalFormatting>
  <conditionalFormatting sqref="F18 F22">
    <cfRule type="expression" dxfId="19" priority="6">
      <formula>IF($F$18=0,1,0)</formula>
    </cfRule>
  </conditionalFormatting>
  <conditionalFormatting sqref="G7 G11">
    <cfRule type="expression" dxfId="18" priority="10">
      <formula>IF($G$7=0,1,0)</formula>
    </cfRule>
  </conditionalFormatting>
  <conditionalFormatting sqref="G8:G10">
    <cfRule type="expression" dxfId="17" priority="3">
      <formula>IF($G$7=0,1,0)</formula>
    </cfRule>
  </conditionalFormatting>
  <conditionalFormatting sqref="G18 G22">
    <cfRule type="expression" dxfId="16" priority="5">
      <formula>IF($G$18=0,1,0)</formula>
    </cfRule>
  </conditionalFormatting>
  <conditionalFormatting sqref="H7 H11">
    <cfRule type="expression" dxfId="15" priority="11">
      <formula>IF($H$7=0,1,0)</formula>
    </cfRule>
  </conditionalFormatting>
  <conditionalFormatting sqref="H8:H10">
    <cfRule type="expression" dxfId="14" priority="2">
      <formula>IF($H$7=0,1,0)</formula>
    </cfRule>
  </conditionalFormatting>
  <conditionalFormatting sqref="I25">
    <cfRule type="expression" dxfId="13" priority="1">
      <formula>IF(LEN(I24)&gt;2,TRUE,FALSE)</formula>
    </cfRule>
  </conditionalFormatting>
  <conditionalFormatting sqref="J18:M22">
    <cfRule type="expression" dxfId="12" priority="12">
      <formula>ISNONTEXT(J18)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76E91-2B9D-4A9D-9AFE-6B896F90C89E}">
  <sheetPr codeName="Planilha85"/>
  <dimension ref="A1:AG31"/>
  <sheetViews>
    <sheetView workbookViewId="0">
      <selection activeCell="M7" sqref="M7"/>
    </sheetView>
  </sheetViews>
  <sheetFormatPr defaultColWidth="9.109375" defaultRowHeight="14.4" x14ac:dyDescent="0.3"/>
  <cols>
    <col min="1" max="2" width="9.109375" style="1"/>
    <col min="3" max="3" width="15.44140625" style="1" customWidth="1"/>
    <col min="4" max="13" width="16.6640625" style="1" customWidth="1"/>
    <col min="14" max="14" width="10.6640625" style="1" customWidth="1"/>
    <col min="15" max="15" width="18.5546875" style="1" bestFit="1" customWidth="1"/>
    <col min="16" max="16384" width="9.109375" style="1"/>
  </cols>
  <sheetData>
    <row r="1" spans="1:33" x14ac:dyDescent="0.3">
      <c r="A1" s="2">
        <v>1</v>
      </c>
    </row>
    <row r="2" spans="1:33" ht="28.8" x14ac:dyDescent="0.3">
      <c r="B2" s="4" t="s">
        <v>196</v>
      </c>
    </row>
    <row r="3" spans="1:33" ht="23.4" x14ac:dyDescent="0.3">
      <c r="B3" s="5" t="str">
        <f>_xlfn.CONCAT("Diretor Geral - Câmpus ",VLOOKUP($M$3,campus!$A$2:$C$50,3))</f>
        <v>Diretor Geral - Câmpus São Paulo</v>
      </c>
      <c r="M3" s="1">
        <v>28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x14ac:dyDescent="0.3"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" thickBot="1" x14ac:dyDescent="0.35">
      <c r="Q5" s="2"/>
      <c r="R5" s="2">
        <f>LARGE(D22:L22,1)</f>
        <v>0</v>
      </c>
      <c r="S5" s="2">
        <f>LARGE(D22:L22,2)</f>
        <v>0</v>
      </c>
      <c r="T5" s="2">
        <f>LARGE(D22:L22,3)</f>
        <v>0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24.9" customHeight="1" x14ac:dyDescent="0.3">
      <c r="B6" s="62" t="s">
        <v>9</v>
      </c>
      <c r="C6" s="63" t="s">
        <v>207</v>
      </c>
      <c r="D6" s="79" t="s">
        <v>197</v>
      </c>
      <c r="E6" s="80"/>
      <c r="F6" s="80"/>
      <c r="G6" s="80"/>
      <c r="H6" s="80"/>
      <c r="I6" s="80"/>
      <c r="J6" s="80"/>
      <c r="K6" s="80"/>
      <c r="L6" s="80"/>
      <c r="M6" s="80"/>
      <c r="N6" s="81"/>
      <c r="O6" s="82" t="s">
        <v>205</v>
      </c>
      <c r="Q6" s="2"/>
      <c r="R6" s="2" t="s">
        <v>215</v>
      </c>
      <c r="S6" s="2" t="s">
        <v>216</v>
      </c>
      <c r="T6" s="2" t="s">
        <v>217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78" customHeight="1" x14ac:dyDescent="0.3">
      <c r="B7" s="77"/>
      <c r="C7" s="78"/>
      <c r="D7" s="6" t="str">
        <f>VLOOKUP($M$3,campus!$A$2:$P$50,6)</f>
        <v>(Shiga) Alberto Akio Shiga</v>
      </c>
      <c r="E7" s="6" t="str">
        <f>VLOOKUP($M$3,campus!$A$2:$P$50,7)</f>
        <v>(Camila Collpy) Camila Collpy Gonzalez Fernandez</v>
      </c>
      <c r="F7" s="6" t="str">
        <f>VLOOKUP($M$3,campus!$A$2:$P$50,8)</f>
        <v>(d’Avila) Edson D'Avila</v>
      </c>
      <c r="G7" s="6" t="str">
        <f>VLOOKUP($M$3,campus!$A$2:$P$50,9)</f>
        <v>(Prof. Modena) Eduardo Antonio Modena</v>
      </c>
      <c r="H7" s="6" t="str">
        <f>VLOOKUP($M$3,campus!$A$2:$P$50,10)</f>
        <v>(Giuliano Gozzi) Giuliano Gozzi</v>
      </c>
      <c r="I7" s="6" t="str">
        <f>VLOOKUP($M$3,campus!$A$2:$P$50,11)</f>
        <v>(Luís Cláudio de Matos) Luís Cláudio de Matos Lima Jr.</v>
      </c>
      <c r="J7" s="6" t="str">
        <f>VLOOKUP($M$3,campus!$A$2:$P$50,12)</f>
        <v>(Natanael) Natanael Benedito Amaro</v>
      </c>
      <c r="K7" s="6" t="str">
        <f>VLOOKUP($M$3,campus!$A$2:$P$50,13)</f>
        <v>(Vitor Marçulli) Reginaldo Vitor Marçulli Pereira</v>
      </c>
      <c r="L7" s="6" t="str">
        <f>VLOOKUP($M$3,campus!$A$2:$P$50,14)</f>
        <v>(Wellington) Wellington Pereira das Virgens</v>
      </c>
      <c r="M7" s="7" t="str">
        <f>VLOOKUP($M$3,campus!$A$2:$P$50,15)</f>
        <v>Branco</v>
      </c>
      <c r="N7" s="6" t="s">
        <v>210</v>
      </c>
      <c r="O7" s="83"/>
      <c r="Q7" s="2"/>
      <c r="R7" s="2"/>
      <c r="S7" s="2"/>
      <c r="T7" s="2"/>
      <c r="U7" s="2"/>
      <c r="V7" s="44">
        <f>IF(OR(D7="Branco",D7=0),"",D22)</f>
        <v>0</v>
      </c>
      <c r="W7" s="2" t="str">
        <f>IF(OR(D7="Branco",D7=0),"",D7)</f>
        <v>(Shiga) Alberto Akio Shiga</v>
      </c>
      <c r="X7" s="2"/>
      <c r="Y7" s="2" cm="1">
        <f t="array" ref="Y7:Z10">_xlfn.SORTBY(V7:W10,V7:V10,1)</f>
        <v>0</v>
      </c>
      <c r="Z7" s="2" t="str">
        <v>(Shiga) Alberto Akio Shiga</v>
      </c>
      <c r="AA7" s="2"/>
      <c r="AB7" s="2"/>
      <c r="AC7" s="2"/>
      <c r="AD7" s="2"/>
      <c r="AE7" s="2"/>
      <c r="AF7" s="2"/>
      <c r="AG7" s="2"/>
    </row>
    <row r="8" spans="1:33" ht="23.25" customHeight="1" x14ac:dyDescent="0.3">
      <c r="B8" s="9" t="str">
        <f>VLOOKUP(3*$M$3-2,urnas!$B$6:$D$150,2)</f>
        <v>Urna 082</v>
      </c>
      <c r="C8" s="21" t="str">
        <f>VLOOKUP(3*$M$3-2,urnas!$B$6:$D$150,3)</f>
        <v>Discentes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8">
        <f t="shared" ref="N8:N10" si="0">SUM(D8:M8)</f>
        <v>0</v>
      </c>
      <c r="O8" s="15">
        <f>VLOOKUP(B8,urnas!$C$6:$H$150,6)</f>
        <v>6031</v>
      </c>
      <c r="Q8" s="2"/>
      <c r="R8" s="2"/>
      <c r="S8" s="2"/>
      <c r="T8" s="2"/>
      <c r="U8" s="2"/>
      <c r="V8" s="44">
        <f>IF(OR(I7="Branco",I7=0),"",I22)</f>
        <v>0</v>
      </c>
      <c r="W8" s="2" t="str">
        <f>IF(OR(I7="Branco",I7=0),"",I7)</f>
        <v>(Luís Cláudio de Matos) Luís Cláudio de Matos Lima Jr.</v>
      </c>
      <c r="X8" s="2"/>
      <c r="Y8" s="2">
        <v>0</v>
      </c>
      <c r="Z8" s="2" t="str">
        <v>(Luís Cláudio de Matos) Luís Cláudio de Matos Lima Jr.</v>
      </c>
      <c r="AA8" s="2"/>
      <c r="AB8" s="2"/>
      <c r="AC8" s="2"/>
      <c r="AD8" s="2"/>
      <c r="AE8" s="2"/>
      <c r="AF8" s="2"/>
      <c r="AG8" s="2"/>
    </row>
    <row r="9" spans="1:33" ht="21.75" customHeight="1" x14ac:dyDescent="0.3">
      <c r="B9" s="9" t="str">
        <f>VLOOKUP(3*$M$3-1,urnas!$B$6:$D$150,2)</f>
        <v>Urna 083</v>
      </c>
      <c r="C9" s="21" t="str">
        <f>VLOOKUP(3*$M$3-1,urnas!$B$6:$D$150,3)</f>
        <v>Docentes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8">
        <f t="shared" si="0"/>
        <v>0</v>
      </c>
      <c r="O9" s="15">
        <f>VLOOKUP(B9,urnas!$C$6:$H$150,6)</f>
        <v>327</v>
      </c>
      <c r="Q9" s="2"/>
      <c r="R9" s="2"/>
      <c r="S9" s="2"/>
      <c r="T9" s="2"/>
      <c r="U9" s="2"/>
      <c r="V9" s="44">
        <f>IF(OR(K7="Branco",K7=0),"",K22)</f>
        <v>0</v>
      </c>
      <c r="W9" s="2" t="str">
        <f>IF(OR(K7="Branco",K7=0),"",K7)</f>
        <v>(Vitor Marçulli) Reginaldo Vitor Marçulli Pereira</v>
      </c>
      <c r="X9" s="2"/>
      <c r="Y9" s="2">
        <v>0</v>
      </c>
      <c r="Z9" s="2" t="str">
        <v>(Vitor Marçulli) Reginaldo Vitor Marçulli Pereira</v>
      </c>
      <c r="AA9" s="2"/>
      <c r="AB9" s="2"/>
      <c r="AC9" s="2"/>
      <c r="AD9" s="2"/>
      <c r="AE9" s="2"/>
      <c r="AF9" s="2"/>
      <c r="AG9" s="2"/>
    </row>
    <row r="10" spans="1:33" ht="21" customHeight="1" thickBot="1" x14ac:dyDescent="0.35">
      <c r="B10" s="10" t="str">
        <f>VLOOKUP(3*$M$3,urnas!$B$6:$D$150,2)</f>
        <v>Urna 084</v>
      </c>
      <c r="C10" s="22" t="str">
        <f>VLOOKUP(3*$M$3,urnas!$B$6:$D$150,3)</f>
        <v>TAEs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1">
        <f t="shared" si="0"/>
        <v>0</v>
      </c>
      <c r="O10" s="16">
        <f>VLOOKUP(B10,urnas!$C$6:$H$150,6)</f>
        <v>181</v>
      </c>
      <c r="Q10" s="2"/>
      <c r="R10" s="2"/>
      <c r="S10" s="2"/>
      <c r="T10" s="2"/>
      <c r="U10" s="2"/>
      <c r="V10" s="44">
        <f>IF(OR(L7="Branco",L7=0),"",L22)</f>
        <v>0</v>
      </c>
      <c r="W10" s="2" t="str">
        <f>IF(OR(L7="Branco",L7=0),"",L7)</f>
        <v>(Wellington) Wellington Pereira das Virgens</v>
      </c>
      <c r="X10" s="2"/>
      <c r="Y10" s="2">
        <v>0</v>
      </c>
      <c r="Z10" s="2" t="str">
        <v>(Wellington) Wellington Pereira das Virgens</v>
      </c>
      <c r="AA10" s="2"/>
      <c r="AB10" s="2"/>
      <c r="AC10" s="2"/>
      <c r="AD10" s="2"/>
      <c r="AE10" s="2"/>
      <c r="AF10" s="2"/>
      <c r="AG10" s="2"/>
    </row>
    <row r="11" spans="1:33" ht="20.25" customHeight="1" thickBot="1" x14ac:dyDescent="0.35">
      <c r="C11" s="18" t="s">
        <v>221</v>
      </c>
      <c r="D11" s="45">
        <f>SUM(D8:D10)</f>
        <v>0</v>
      </c>
      <c r="E11" s="45"/>
      <c r="F11" s="45"/>
      <c r="G11" s="45"/>
      <c r="H11" s="45"/>
      <c r="I11" s="45">
        <f t="shared" ref="I11:N11" si="1">SUM(I8:I10)</f>
        <v>0</v>
      </c>
      <c r="J11" s="45"/>
      <c r="K11" s="45">
        <f t="shared" si="1"/>
        <v>0</v>
      </c>
      <c r="L11" s="46">
        <f t="shared" si="1"/>
        <v>0</v>
      </c>
      <c r="M11" s="45">
        <f t="shared" si="1"/>
        <v>0</v>
      </c>
      <c r="N11" s="47">
        <f t="shared" si="1"/>
        <v>0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x14ac:dyDescent="0.3"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6" customHeight="1" x14ac:dyDescent="0.3"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6.75" customHeight="1" x14ac:dyDescent="0.3"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3" ht="21" x14ac:dyDescent="0.3">
      <c r="C15" s="3" t="s">
        <v>200</v>
      </c>
      <c r="O15" s="3" t="s">
        <v>341</v>
      </c>
      <c r="AD15" s="2"/>
      <c r="AE15" s="2"/>
    </row>
    <row r="16" spans="1:33" ht="15" thickBot="1" x14ac:dyDescent="0.35">
      <c r="AD16" s="2"/>
      <c r="AE16" s="2"/>
    </row>
    <row r="17" spans="2:19" ht="24.9" customHeight="1" thickBot="1" x14ac:dyDescent="0.35">
      <c r="B17" s="12"/>
      <c r="C17" s="62" t="s">
        <v>207</v>
      </c>
      <c r="D17" s="63" t="s">
        <v>206</v>
      </c>
      <c r="E17" s="63"/>
      <c r="F17" s="63"/>
      <c r="G17" s="63"/>
      <c r="H17" s="63"/>
      <c r="I17" s="63"/>
      <c r="J17" s="63"/>
      <c r="K17" s="63"/>
      <c r="L17" s="84"/>
      <c r="O17" s="62" t="s">
        <v>206</v>
      </c>
      <c r="P17" s="63"/>
      <c r="Q17" s="63"/>
      <c r="R17" s="63"/>
      <c r="S17" s="26" t="s">
        <v>214</v>
      </c>
    </row>
    <row r="18" spans="2:19" ht="51" customHeight="1" x14ac:dyDescent="0.3">
      <c r="B18" s="12"/>
      <c r="C18" s="77"/>
      <c r="D18" s="6" t="str">
        <f>IF(D7="Branco",0,D7)</f>
        <v>(Shiga) Alberto Akio Shiga</v>
      </c>
      <c r="E18" s="6"/>
      <c r="F18" s="6"/>
      <c r="G18" s="6"/>
      <c r="H18" s="6"/>
      <c r="I18" s="6" t="str">
        <f t="shared" ref="I18:L18" si="2">IF(I7="Branco",0,I7)</f>
        <v>(Luís Cláudio de Matos) Luís Cláudio de Matos Lima Jr.</v>
      </c>
      <c r="J18" s="6"/>
      <c r="K18" s="6" t="str">
        <f t="shared" si="2"/>
        <v>(Vitor Marçulli) Reginaldo Vitor Marçulli Pereira</v>
      </c>
      <c r="L18" s="13" t="str">
        <f t="shared" si="2"/>
        <v>(Wellington) Wellington Pereira das Virgens</v>
      </c>
      <c r="N18" s="48" t="s">
        <v>218</v>
      </c>
      <c r="O18" s="85" t="e">
        <f>VLOOKUP(S18,_xlfn.ANCHORARRAY(Y7),2)</f>
        <v>#N/A</v>
      </c>
      <c r="P18" s="86"/>
      <c r="Q18" s="86"/>
      <c r="R18" s="86"/>
      <c r="S18" s="27" t="str">
        <f>IF(COUNTA(D8:M10)=(VLOOKUP($M$3,campus!$A$2:$F$50,5)+1)*3,R5,"")</f>
        <v/>
      </c>
    </row>
    <row r="19" spans="2:19" x14ac:dyDescent="0.3">
      <c r="B19" s="12"/>
      <c r="C19" s="9" t="str">
        <f>C8</f>
        <v>Discentes</v>
      </c>
      <c r="D19" s="31">
        <f>IF(OR(ISBLANK(D8),D$18=0),0,100*(1/3*(D8/$O8)))</f>
        <v>0</v>
      </c>
      <c r="E19" s="31"/>
      <c r="F19" s="31"/>
      <c r="G19" s="31"/>
      <c r="H19" s="31"/>
      <c r="I19" s="31">
        <f>IF(OR(ISBLANK(I8),I$18=0),0,100*(1/3*(I8/$O8)))</f>
        <v>0</v>
      </c>
      <c r="J19" s="31"/>
      <c r="K19" s="31">
        <f t="shared" ref="K19:L19" si="3">IF(OR(ISBLANK(K8),K$18=0),0,100*(1/3*(K8/$O8)))</f>
        <v>0</v>
      </c>
      <c r="L19" s="27">
        <f t="shared" si="3"/>
        <v>0</v>
      </c>
      <c r="N19" s="64" t="s">
        <v>219</v>
      </c>
      <c r="O19" s="65" t="e">
        <f>VLOOKUP(S19,_xlfn.ANCHORARRAY(Y7),2)</f>
        <v>#N/A</v>
      </c>
      <c r="P19" s="66"/>
      <c r="Q19" s="66"/>
      <c r="R19" s="67"/>
      <c r="S19" s="71" t="str">
        <f>IF(COUNTA(D8:M10)=(VLOOKUP($M$3,campus!$A$2:$F$50,5)+1)*3,S5,"")</f>
        <v/>
      </c>
    </row>
    <row r="20" spans="2:19" ht="18" customHeight="1" x14ac:dyDescent="0.3">
      <c r="B20" s="12"/>
      <c r="C20" s="9" t="str">
        <f>C9</f>
        <v>Docentes</v>
      </c>
      <c r="D20" s="31">
        <f t="shared" ref="D20:L21" si="4">IF(OR(ISBLANK(D9),D$18=0),0,100*(1/3*(D9/$O9)))</f>
        <v>0</v>
      </c>
      <c r="E20" s="31"/>
      <c r="F20" s="31"/>
      <c r="G20" s="31"/>
      <c r="H20" s="31"/>
      <c r="I20" s="31">
        <f t="shared" si="4"/>
        <v>0</v>
      </c>
      <c r="J20" s="31"/>
      <c r="K20" s="31">
        <f t="shared" si="4"/>
        <v>0</v>
      </c>
      <c r="L20" s="27">
        <f t="shared" si="4"/>
        <v>0</v>
      </c>
      <c r="N20" s="64"/>
      <c r="O20" s="68"/>
      <c r="P20" s="69"/>
      <c r="Q20" s="69"/>
      <c r="R20" s="70"/>
      <c r="S20" s="71"/>
    </row>
    <row r="21" spans="2:19" ht="19.5" customHeight="1" x14ac:dyDescent="0.3">
      <c r="B21" s="12"/>
      <c r="C21" s="9" t="str">
        <f>C10</f>
        <v>TAEs</v>
      </c>
      <c r="D21" s="31">
        <f t="shared" si="4"/>
        <v>0</v>
      </c>
      <c r="E21" s="31"/>
      <c r="F21" s="31"/>
      <c r="G21" s="31"/>
      <c r="H21" s="31"/>
      <c r="I21" s="31">
        <f t="shared" si="4"/>
        <v>0</v>
      </c>
      <c r="J21" s="31"/>
      <c r="K21" s="31">
        <f t="shared" si="4"/>
        <v>0</v>
      </c>
      <c r="L21" s="27">
        <f t="shared" si="4"/>
        <v>0</v>
      </c>
      <c r="N21" s="64" t="s">
        <v>220</v>
      </c>
      <c r="O21" s="65" t="e">
        <f>VLOOKUP(S21,_xlfn.ANCHORARRAY(Y7),2)</f>
        <v>#N/A</v>
      </c>
      <c r="P21" s="66"/>
      <c r="Q21" s="66"/>
      <c r="R21" s="67"/>
      <c r="S21" s="71" t="str">
        <f>IF(COUNTA(D8:M10)=(VLOOKUP($M$3,campus!$A$2:$F$50,5)+1)*3,T5,"")</f>
        <v/>
      </c>
    </row>
    <row r="22" spans="2:19" ht="16.5" customHeight="1" thickBot="1" x14ac:dyDescent="0.35">
      <c r="C22" s="23" t="s">
        <v>214</v>
      </c>
      <c r="D22" s="24">
        <f>SUM(D19:D21)</f>
        <v>0</v>
      </c>
      <c r="E22" s="24"/>
      <c r="F22" s="24"/>
      <c r="G22" s="24"/>
      <c r="H22" s="24"/>
      <c r="I22" s="24">
        <f>SUM(I19:I21)</f>
        <v>0</v>
      </c>
      <c r="J22" s="49"/>
      <c r="K22" s="25">
        <f>SUM(K19:K21)</f>
        <v>0</v>
      </c>
      <c r="L22" s="25">
        <f>SUM(L19:L21)</f>
        <v>0</v>
      </c>
      <c r="N22" s="72"/>
      <c r="O22" s="73"/>
      <c r="P22" s="74"/>
      <c r="Q22" s="74"/>
      <c r="R22" s="75"/>
      <c r="S22" s="76"/>
    </row>
    <row r="23" spans="2:19" x14ac:dyDescent="0.3">
      <c r="D23" s="2" t="str">
        <f>D18</f>
        <v>(Shiga) Alberto Akio Shiga</v>
      </c>
      <c r="E23" s="2"/>
      <c r="F23" s="2"/>
      <c r="G23" s="2"/>
      <c r="H23" s="2"/>
      <c r="I23" s="2" t="str">
        <f>I18</f>
        <v>(Luís Cláudio de Matos) Luís Cláudio de Matos Lima Jr.</v>
      </c>
      <c r="J23" s="2"/>
      <c r="K23" s="2" t="str">
        <f>K18</f>
        <v>(Vitor Marçulli) Reginaldo Vitor Marçulli Pereira</v>
      </c>
    </row>
    <row r="24" spans="2:19" ht="23.4" x14ac:dyDescent="0.3">
      <c r="N24" s="5" t="str">
        <f>IF(COUNTA(D8:M10)=(VLOOKUP($M$3,campus!$A$2:$F$50,5)+1)*3,IF(ISTEXT(O19),IF(O18=O19,"Verificar critérios de desempate",""),""),"")</f>
        <v/>
      </c>
    </row>
    <row r="25" spans="2:19" ht="23.4" x14ac:dyDescent="0.3">
      <c r="N25" s="5" t="str">
        <f>IF(COUNTA(D8:M10)=(VLOOKUP($M$3,campus!$A$2:$F$50,5)+1)*3, IF(VLOOKUP($M$3,campus!$A$2:$F$50,5)&gt;2,IF(S18&gt;(S19+S21), "Eleição encerrada no primeiro turno.", "Haverá segundo turno entre os dois primeiro colocados"),"Eleição encerrada no primeiro turno."   ),"")</f>
        <v/>
      </c>
    </row>
    <row r="28" spans="2:19" ht="24.9" customHeight="1" x14ac:dyDescent="0.3"/>
    <row r="29" spans="2:19" ht="33.9" customHeight="1" x14ac:dyDescent="0.3"/>
    <row r="30" spans="2:19" ht="33.9" customHeight="1" x14ac:dyDescent="0.3"/>
    <row r="31" spans="2:19" ht="33.9" customHeight="1" x14ac:dyDescent="0.3"/>
  </sheetData>
  <sheetProtection selectLockedCells="1"/>
  <mergeCells count="14">
    <mergeCell ref="N19:N20"/>
    <mergeCell ref="O19:R20"/>
    <mergeCell ref="S19:S20"/>
    <mergeCell ref="N21:N22"/>
    <mergeCell ref="O21:R22"/>
    <mergeCell ref="S21:S22"/>
    <mergeCell ref="B6:B7"/>
    <mergeCell ref="C6:C7"/>
    <mergeCell ref="D6:N6"/>
    <mergeCell ref="O6:O7"/>
    <mergeCell ref="C17:C18"/>
    <mergeCell ref="D17:L17"/>
    <mergeCell ref="O17:R17"/>
    <mergeCell ref="O18:R18"/>
  </mergeCells>
  <conditionalFormatting sqref="I7:J11">
    <cfRule type="expression" dxfId="11" priority="8">
      <formula>IF($I$7=0,1,0)</formula>
    </cfRule>
  </conditionalFormatting>
  <conditionalFormatting sqref="I18:J22 K19:L21">
    <cfRule type="expression" dxfId="10" priority="7">
      <formula>IF($I$18=0,1,0)</formula>
    </cfRule>
  </conditionalFormatting>
  <conditionalFormatting sqref="K7 K11">
    <cfRule type="expression" dxfId="9" priority="9">
      <formula>IF($K$7=0,1,0)</formula>
    </cfRule>
  </conditionalFormatting>
  <conditionalFormatting sqref="K8:K10">
    <cfRule type="expression" dxfId="8" priority="4">
      <formula>IF($K$7=0,1,0)</formula>
    </cfRule>
  </conditionalFormatting>
  <conditionalFormatting sqref="K18 K22">
    <cfRule type="expression" dxfId="7" priority="6">
      <formula>IF($K$18=0,1,0)</formula>
    </cfRule>
  </conditionalFormatting>
  <conditionalFormatting sqref="L7 L11">
    <cfRule type="expression" dxfId="6" priority="10">
      <formula>IF($L$7=0,1,0)</formula>
    </cfRule>
  </conditionalFormatting>
  <conditionalFormatting sqref="L8:L10">
    <cfRule type="expression" dxfId="5" priority="3">
      <formula>IF($L$7=0,1,0)</formula>
    </cfRule>
  </conditionalFormatting>
  <conditionalFormatting sqref="L18 L22">
    <cfRule type="expression" dxfId="4" priority="5">
      <formula>IF($L$18=0,1,0)</formula>
    </cfRule>
  </conditionalFormatting>
  <conditionalFormatting sqref="M7 M11">
    <cfRule type="expression" dxfId="3" priority="11">
      <formula>IF($M$7=0,1,0)</formula>
    </cfRule>
  </conditionalFormatting>
  <conditionalFormatting sqref="M8:M10">
    <cfRule type="expression" dxfId="2" priority="2">
      <formula>IF($M$7=0,1,0)</formula>
    </cfRule>
  </conditionalFormatting>
  <conditionalFormatting sqref="N25">
    <cfRule type="expression" dxfId="1" priority="1">
      <formula>IF(LEN(N24)&gt;2,TRUE,FALSE)</formula>
    </cfRule>
  </conditionalFormatting>
  <conditionalFormatting sqref="O18:R22">
    <cfRule type="expression" dxfId="0" priority="12">
      <formula>ISNONTEXT(O18)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F9162B54864B49929151DB697C59AD" ma:contentTypeVersion="11" ma:contentTypeDescription="Crie um novo documento." ma:contentTypeScope="" ma:versionID="f33ec39cc49f32f1a9f72c142bd40398">
  <xsd:schema xmlns:xsd="http://www.w3.org/2001/XMLSchema" xmlns:xs="http://www.w3.org/2001/XMLSchema" xmlns:p="http://schemas.microsoft.com/office/2006/metadata/properties" xmlns:ns2="7a8d37a6-e663-4e27-83c2-3172aa774f23" targetNamespace="http://schemas.microsoft.com/office/2006/metadata/properties" ma:root="true" ma:fieldsID="2d10bfeb0454586da155d0756aa171c9" ns2:_="">
    <xsd:import namespace="7a8d37a6-e663-4e27-83c2-3172aa774f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8d37a6-e663-4e27-83c2-3172aa774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scriptIds xmlns="http://schemas.microsoft.com/office/extensibility/maker/v1.0" id="script-ids-node-id"/>
</file>

<file path=customXml/itemProps1.xml><?xml version="1.0" encoding="utf-8"?>
<ds:datastoreItem xmlns:ds="http://schemas.openxmlformats.org/officeDocument/2006/customXml" ds:itemID="{999D680B-1678-4198-AA76-FFE87D2749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384EAA-4E5A-476B-B6D1-1CE9713A6D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8d37a6-e663-4e27-83c2-3172aa774f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3A12CC-3471-4183-B4FE-63727F1B370A}">
  <ds:schemaRefs>
    <ds:schemaRef ds:uri="http://purl.org/dc/dcmitype/"/>
    <ds:schemaRef ds:uri="7a8d37a6-e663-4e27-83c2-3172aa774f23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674B054D-BA85-4800-905E-2655D7A8172B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Menu</vt:lpstr>
      <vt:lpstr>TVC</vt:lpstr>
      <vt:lpstr>Reitor</vt:lpstr>
      <vt:lpstr>RGT</vt:lpstr>
      <vt:lpstr>JCR</vt:lpstr>
      <vt:lpstr>BRA</vt:lpstr>
      <vt:lpstr>SPO (4)</vt:lpstr>
      <vt:lpstr>SPO</vt:lpstr>
      <vt:lpstr>campus</vt:lpstr>
      <vt:lpstr>urnas</vt:lpstr>
      <vt:lpstr>1C</vt:lpstr>
      <vt:lpstr>2C</vt:lpstr>
      <vt:lpstr>3C</vt:lpstr>
      <vt:lpstr>4C</vt:lpstr>
      <vt:lpstr>SPO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</dc:creator>
  <cp:lastModifiedBy>Leonardo Menzani Silva</cp:lastModifiedBy>
  <cp:lastPrinted>2024-10-30T17:26:52Z</cp:lastPrinted>
  <dcterms:created xsi:type="dcterms:W3CDTF">2020-10-12T18:44:48Z</dcterms:created>
  <dcterms:modified xsi:type="dcterms:W3CDTF">2024-10-30T17:32:47Z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0x010100FCF9162B54864B49929151DB697C59AD</vt:lpwstr>
  </property>
</Properties>
</file>